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trans\Documents\Steph\Business\A - Anakelogy\Anankelogy Foundation\wellness campaign\"/>
    </mc:Choice>
  </mc:AlternateContent>
  <xr:revisionPtr revIDLastSave="0" documentId="13_ncr:1_{361313A8-EF79-4266-84E9-1D238B659EC8}" xr6:coauthVersionLast="47" xr6:coauthVersionMax="47" xr10:uidLastSave="{00000000-0000-0000-0000-000000000000}"/>
  <bookViews>
    <workbookView xWindow="-110" yWindow="-110" windowWidth="19420" windowHeight="10300" tabRatio="835" xr2:uid="{72AE595C-5EC9-4E17-BDCE-91106A17D579}"/>
  </bookViews>
  <sheets>
    <sheet name="full warmup" sheetId="1" r:id="rId1"/>
    <sheet name="follow-up" sheetId="4" r:id="rId2"/>
    <sheet name="rate me" sheetId="5" r:id="rId3"/>
    <sheet name="PNP" sheetId="3" r:id="rId4"/>
    <sheet name="invite" sheetId="2" r:id="rId5"/>
    <sheet name="F-up2" sheetId="6" r:id="rId6"/>
  </sheets>
  <definedNames>
    <definedName name="_xlnm.Print_Area" localSheetId="1">'follow-up'!$A$4:$N$31</definedName>
    <definedName name="_xlnm.Print_Area" localSheetId="0">'full warmup'!$A$1:$N$707</definedName>
    <definedName name="_xlnm.Print_Area" localSheetId="5">'F-up2'!$A$4:$N$27</definedName>
    <definedName name="_xlnm.Print_Area" localSheetId="4">invite!$A$1:$N$37</definedName>
    <definedName name="_xlnm.Print_Area" localSheetId="3">PNP!$A$4:$N$28</definedName>
    <definedName name="_xlnm.Print_Area" localSheetId="2">'rate me'!$A$4:$N$38</definedName>
    <definedName name="resp4">'full warmup'!$AX$1035:$AX$1054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W1043" i="1" l="1"/>
  <c r="CW1044" i="1"/>
  <c r="CW1045" i="1"/>
  <c r="CW1046" i="1"/>
  <c r="CW1047" i="1"/>
  <c r="CW1048" i="1"/>
  <c r="CW1049" i="1"/>
  <c r="CW1050" i="1"/>
  <c r="CW1051" i="1"/>
  <c r="CW1052" i="1"/>
  <c r="CW1053" i="1"/>
  <c r="CW1054" i="1"/>
  <c r="K138" i="1"/>
  <c r="J138" i="1"/>
  <c r="K137" i="1"/>
  <c r="J137" i="1"/>
  <c r="K136" i="1"/>
  <c r="J136" i="1"/>
  <c r="K135" i="1"/>
  <c r="J135" i="1"/>
  <c r="K134" i="1"/>
  <c r="J134" i="1"/>
  <c r="K133" i="1"/>
  <c r="J133" i="1"/>
  <c r="K132" i="1"/>
  <c r="J132" i="1"/>
  <c r="K131" i="1"/>
  <c r="J131" i="1"/>
  <c r="K130" i="1"/>
  <c r="J130" i="1"/>
  <c r="K129" i="1"/>
  <c r="J129" i="1"/>
  <c r="K128" i="1"/>
  <c r="J128" i="1"/>
  <c r="K127" i="1"/>
  <c r="J127" i="1"/>
  <c r="CR1063" i="1"/>
  <c r="C640" i="6"/>
  <c r="C639" i="6"/>
  <c r="C638" i="6"/>
  <c r="C637" i="6"/>
  <c r="C636" i="6"/>
  <c r="K604" i="6"/>
  <c r="C604" i="6" s="1"/>
  <c r="D11" i="6" s="1"/>
  <c r="F651" i="6"/>
  <c r="F652" i="6"/>
  <c r="F653" i="6"/>
  <c r="F654" i="6"/>
  <c r="C654" i="6"/>
  <c r="C653" i="6"/>
  <c r="C652" i="6"/>
  <c r="C651" i="6"/>
  <c r="C647" i="6"/>
  <c r="C645" i="6"/>
  <c r="C646" i="6"/>
  <c r="C644" i="6"/>
  <c r="C628" i="6"/>
  <c r="D630" i="6" s="1"/>
  <c r="E609" i="6"/>
  <c r="E610" i="6"/>
  <c r="E611" i="6"/>
  <c r="E612" i="6"/>
  <c r="E613" i="6"/>
  <c r="E614" i="6"/>
  <c r="E615" i="6"/>
  <c r="E616" i="6"/>
  <c r="E617" i="6"/>
  <c r="E618" i="6"/>
  <c r="E619" i="6"/>
  <c r="E620" i="6"/>
  <c r="E621" i="6"/>
  <c r="E622" i="6"/>
  <c r="E623" i="6"/>
  <c r="E624" i="6"/>
  <c r="E625" i="6"/>
  <c r="E626" i="6"/>
  <c r="E627" i="6"/>
  <c r="E608" i="6"/>
  <c r="C606" i="6"/>
  <c r="D7" i="6" s="1"/>
  <c r="D13" i="6"/>
  <c r="K504" i="2"/>
  <c r="K505" i="2"/>
  <c r="K506" i="2"/>
  <c r="K507" i="2"/>
  <c r="K508" i="2"/>
  <c r="K509" i="2"/>
  <c r="K510" i="2"/>
  <c r="K511" i="2"/>
  <c r="K512" i="2"/>
  <c r="K513" i="2"/>
  <c r="K514" i="2"/>
  <c r="K515" i="2"/>
  <c r="K516" i="2"/>
  <c r="K517" i="2"/>
  <c r="K518" i="2"/>
  <c r="K519" i="2"/>
  <c r="K520" i="2"/>
  <c r="K521" i="2"/>
  <c r="K522" i="2"/>
  <c r="K503" i="2"/>
  <c r="AI1078" i="1"/>
  <c r="H191" i="1" s="1"/>
  <c r="AI1079" i="1"/>
  <c r="H215" i="1" s="1"/>
  <c r="AI1080" i="1"/>
  <c r="H239" i="1" s="1"/>
  <c r="AI1081" i="1"/>
  <c r="H263" i="1" s="1"/>
  <c r="AI1082" i="1"/>
  <c r="H287" i="1" s="1"/>
  <c r="AI1083" i="1"/>
  <c r="H311" i="1" s="1"/>
  <c r="AI1084" i="1"/>
  <c r="H335" i="1" s="1"/>
  <c r="AI1085" i="1"/>
  <c r="H359" i="1" s="1"/>
  <c r="AI1086" i="1"/>
  <c r="H383" i="1" s="1"/>
  <c r="AI1087" i="1"/>
  <c r="H407" i="1" s="1"/>
  <c r="AI1088" i="1"/>
  <c r="H431" i="1" s="1"/>
  <c r="AI1089" i="1"/>
  <c r="H455" i="1" s="1"/>
  <c r="AI1090" i="1"/>
  <c r="H479" i="1" s="1"/>
  <c r="AI1091" i="1"/>
  <c r="H503" i="1" s="1"/>
  <c r="AI1092" i="1"/>
  <c r="H527" i="1" s="1"/>
  <c r="AI1093" i="1"/>
  <c r="H551" i="1" s="1"/>
  <c r="AI1094" i="1"/>
  <c r="H575" i="1" s="1"/>
  <c r="AI1095" i="1"/>
  <c r="H599" i="1" s="1"/>
  <c r="AI1096" i="1"/>
  <c r="H623" i="1" s="1"/>
  <c r="AI1077" i="1"/>
  <c r="H167" i="1" s="1"/>
  <c r="B642" i="1"/>
  <c r="P640" i="6" l="1"/>
  <c r="G640" i="6"/>
  <c r="L659" i="6"/>
  <c r="C659" i="6" s="1"/>
  <c r="M215" i="1"/>
  <c r="M239" i="1"/>
  <c r="M263" i="1"/>
  <c r="M287" i="1"/>
  <c r="M311" i="1"/>
  <c r="M335" i="1"/>
  <c r="M359" i="1"/>
  <c r="M383" i="1"/>
  <c r="M407" i="1"/>
  <c r="M431" i="1"/>
  <c r="M455" i="1"/>
  <c r="M479" i="1"/>
  <c r="M503" i="1"/>
  <c r="M527" i="1"/>
  <c r="M551" i="1"/>
  <c r="M575" i="1"/>
  <c r="M599" i="1"/>
  <c r="M623" i="1"/>
  <c r="CR1080" i="1"/>
  <c r="CS1080" i="1" s="1"/>
  <c r="CR1079" i="1"/>
  <c r="CS1079" i="1" s="1"/>
  <c r="B632" i="1"/>
  <c r="CQ1076" i="1"/>
  <c r="CQ1074" i="1"/>
  <c r="CQ1075" i="1"/>
  <c r="CQ1058" i="1"/>
  <c r="CQ1059" i="1"/>
  <c r="CQ1060" i="1"/>
  <c r="CQ1061" i="1"/>
  <c r="CQ1062" i="1"/>
  <c r="CQ1063" i="1"/>
  <c r="CQ1064" i="1"/>
  <c r="CQ1065" i="1"/>
  <c r="CQ1066" i="1"/>
  <c r="CQ1067" i="1"/>
  <c r="CQ1068" i="1"/>
  <c r="CQ1069" i="1"/>
  <c r="CQ1070" i="1"/>
  <c r="CQ1071" i="1"/>
  <c r="CQ1072" i="1"/>
  <c r="CQ1073" i="1"/>
  <c r="CQ1057" i="1"/>
  <c r="DV1037" i="1"/>
  <c r="CS1034" i="1"/>
  <c r="CT1034" i="1" s="1"/>
  <c r="CU1034" i="1" s="1"/>
  <c r="CV1034" i="1" s="1"/>
  <c r="CW1034" i="1" s="1"/>
  <c r="CX1034" i="1" s="1"/>
  <c r="CY1034" i="1" s="1"/>
  <c r="CZ1034" i="1" s="1"/>
  <c r="DA1034" i="1" s="1"/>
  <c r="DB1034" i="1" s="1"/>
  <c r="DT1035" i="1"/>
  <c r="DO1035" i="1" s="1"/>
  <c r="B626" i="1"/>
  <c r="CR1081" i="1" l="1"/>
  <c r="B667" i="1"/>
  <c r="B665" i="1"/>
  <c r="B663" i="1"/>
  <c r="B661" i="1"/>
  <c r="B659" i="1"/>
  <c r="B657" i="1"/>
  <c r="B655" i="1"/>
  <c r="B653" i="1"/>
  <c r="B651" i="1"/>
  <c r="B649" i="1"/>
  <c r="B644" i="1"/>
  <c r="B640" i="1"/>
  <c r="B638" i="1"/>
  <c r="B636" i="1"/>
  <c r="B634" i="1"/>
  <c r="B630" i="1"/>
  <c r="B628" i="1"/>
  <c r="BY1054" i="1" l="1"/>
  <c r="DF1054" i="1" s="1"/>
  <c r="BY1053" i="1"/>
  <c r="DF1053" i="1" s="1"/>
  <c r="BY1052" i="1"/>
  <c r="DF1052" i="1" s="1"/>
  <c r="BY1051" i="1"/>
  <c r="DF1051" i="1" s="1"/>
  <c r="BY1050" i="1"/>
  <c r="DF1050" i="1" s="1"/>
  <c r="BY1049" i="1"/>
  <c r="DF1049" i="1" s="1"/>
  <c r="BY1048" i="1"/>
  <c r="DF1048" i="1" s="1"/>
  <c r="BY1047" i="1"/>
  <c r="DF1047" i="1" s="1"/>
  <c r="BY1046" i="1"/>
  <c r="DF1046" i="1" s="1"/>
  <c r="BY1045" i="1"/>
  <c r="DF1045" i="1" s="1"/>
  <c r="BY1044" i="1"/>
  <c r="DF1044" i="1" s="1"/>
  <c r="BY1043" i="1"/>
  <c r="DF1043" i="1" s="1"/>
  <c r="BY1042" i="1"/>
  <c r="DF1042" i="1" s="1"/>
  <c r="BY1041" i="1"/>
  <c r="DF1041" i="1" s="1"/>
  <c r="BY1040" i="1"/>
  <c r="DF1040" i="1" s="1"/>
  <c r="BY1039" i="1"/>
  <c r="DF1039" i="1" s="1"/>
  <c r="BY1038" i="1"/>
  <c r="DF1038" i="1" s="1"/>
  <c r="BY1037" i="1"/>
  <c r="DF1037" i="1" s="1"/>
  <c r="BY1036" i="1"/>
  <c r="DF1036" i="1" s="1"/>
  <c r="BX1054" i="1"/>
  <c r="BX1053" i="1"/>
  <c r="BX1052" i="1"/>
  <c r="BX1051" i="1"/>
  <c r="BX1050" i="1"/>
  <c r="BX1049" i="1"/>
  <c r="CC1049" i="1" s="1"/>
  <c r="BX1048" i="1"/>
  <c r="BX1047" i="1"/>
  <c r="BX1046" i="1"/>
  <c r="BX1045" i="1"/>
  <c r="BX1044" i="1"/>
  <c r="BX1043" i="1"/>
  <c r="BX1042" i="1"/>
  <c r="CC1042" i="1" s="1"/>
  <c r="BX1041" i="1"/>
  <c r="BX1040" i="1"/>
  <c r="BX1039" i="1"/>
  <c r="BX1038" i="1"/>
  <c r="CC1038" i="1" s="1"/>
  <c r="BX1037" i="1"/>
  <c r="BX1036" i="1"/>
  <c r="BU1054" i="1"/>
  <c r="L667" i="1" s="1"/>
  <c r="BT1054" i="1"/>
  <c r="K667" i="1" s="1"/>
  <c r="BS1054" i="1"/>
  <c r="J667" i="1" s="1"/>
  <c r="BR1054" i="1"/>
  <c r="I667" i="1" s="1"/>
  <c r="BQ1054" i="1"/>
  <c r="H667" i="1" s="1"/>
  <c r="BP1054" i="1"/>
  <c r="G667" i="1" s="1"/>
  <c r="BO1054" i="1"/>
  <c r="F667" i="1" s="1"/>
  <c r="BN1054" i="1"/>
  <c r="E667" i="1" s="1"/>
  <c r="BM1054" i="1"/>
  <c r="D667" i="1" s="1"/>
  <c r="BL1054" i="1"/>
  <c r="C667" i="1" s="1"/>
  <c r="BU1053" i="1"/>
  <c r="L665" i="1" s="1"/>
  <c r="BT1053" i="1"/>
  <c r="K665" i="1" s="1"/>
  <c r="BS1053" i="1"/>
  <c r="J665" i="1" s="1"/>
  <c r="BR1053" i="1"/>
  <c r="I665" i="1" s="1"/>
  <c r="BQ1053" i="1"/>
  <c r="H665" i="1" s="1"/>
  <c r="BP1053" i="1"/>
  <c r="G665" i="1" s="1"/>
  <c r="BO1053" i="1"/>
  <c r="F665" i="1" s="1"/>
  <c r="BN1053" i="1"/>
  <c r="E665" i="1" s="1"/>
  <c r="BM1053" i="1"/>
  <c r="D665" i="1" s="1"/>
  <c r="BL1053" i="1"/>
  <c r="C665" i="1" s="1"/>
  <c r="BU1052" i="1"/>
  <c r="L663" i="1" s="1"/>
  <c r="BT1052" i="1"/>
  <c r="K663" i="1" s="1"/>
  <c r="BS1052" i="1"/>
  <c r="J663" i="1" s="1"/>
  <c r="BR1052" i="1"/>
  <c r="I663" i="1" s="1"/>
  <c r="BQ1052" i="1"/>
  <c r="H663" i="1" s="1"/>
  <c r="BP1052" i="1"/>
  <c r="G663" i="1" s="1"/>
  <c r="BO1052" i="1"/>
  <c r="F663" i="1" s="1"/>
  <c r="BN1052" i="1"/>
  <c r="E663" i="1" s="1"/>
  <c r="BM1052" i="1"/>
  <c r="D663" i="1" s="1"/>
  <c r="BL1052" i="1"/>
  <c r="C663" i="1" s="1"/>
  <c r="BU1051" i="1"/>
  <c r="BT1051" i="1"/>
  <c r="BS1051" i="1"/>
  <c r="BS1050" i="1"/>
  <c r="J659" i="1" s="1"/>
  <c r="BR1051" i="1"/>
  <c r="BQ1051" i="1"/>
  <c r="BP1051" i="1"/>
  <c r="BO1051" i="1"/>
  <c r="BN1051" i="1"/>
  <c r="BM1051" i="1"/>
  <c r="BL1051" i="1"/>
  <c r="BU1050" i="1"/>
  <c r="L659" i="1" s="1"/>
  <c r="BT1050" i="1"/>
  <c r="K659" i="1" s="1"/>
  <c r="BR1050" i="1"/>
  <c r="I659" i="1" s="1"/>
  <c r="BQ1050" i="1"/>
  <c r="H659" i="1" s="1"/>
  <c r="BP1050" i="1"/>
  <c r="G659" i="1" s="1"/>
  <c r="BO1050" i="1"/>
  <c r="F659" i="1" s="1"/>
  <c r="BN1050" i="1"/>
  <c r="E659" i="1" s="1"/>
  <c r="BL1050" i="1"/>
  <c r="C659" i="1" s="1"/>
  <c r="BM1050" i="1"/>
  <c r="D659" i="1" s="1"/>
  <c r="BU1049" i="1"/>
  <c r="L661" i="1" s="1"/>
  <c r="BT1049" i="1"/>
  <c r="K661" i="1" s="1"/>
  <c r="BS1049" i="1"/>
  <c r="J657" i="1" s="1"/>
  <c r="BR1049" i="1"/>
  <c r="I657" i="1" s="1"/>
  <c r="BQ1049" i="1"/>
  <c r="H657" i="1" s="1"/>
  <c r="BP1049" i="1"/>
  <c r="G661" i="1" s="1"/>
  <c r="BO1049" i="1"/>
  <c r="F657" i="1" s="1"/>
  <c r="BN1049" i="1"/>
  <c r="E661" i="1" s="1"/>
  <c r="BM1049" i="1"/>
  <c r="D657" i="1" s="1"/>
  <c r="BL1049" i="1"/>
  <c r="C661" i="1" s="1"/>
  <c r="BU1048" i="1"/>
  <c r="L655" i="1" s="1"/>
  <c r="BT1048" i="1"/>
  <c r="K655" i="1" s="1"/>
  <c r="BS1048" i="1"/>
  <c r="J655" i="1" s="1"/>
  <c r="BR1048" i="1"/>
  <c r="I655" i="1" s="1"/>
  <c r="BQ1048" i="1"/>
  <c r="H655" i="1" s="1"/>
  <c r="BP1048" i="1"/>
  <c r="G655" i="1" s="1"/>
  <c r="BO1048" i="1"/>
  <c r="F655" i="1" s="1"/>
  <c r="BN1048" i="1"/>
  <c r="E655" i="1" s="1"/>
  <c r="BM1048" i="1"/>
  <c r="D655" i="1" s="1"/>
  <c r="BL1048" i="1"/>
  <c r="C655" i="1" s="1"/>
  <c r="BU1047" i="1"/>
  <c r="L653" i="1" s="1"/>
  <c r="BT1047" i="1"/>
  <c r="K653" i="1" s="1"/>
  <c r="BS1047" i="1"/>
  <c r="J653" i="1" s="1"/>
  <c r="BR1047" i="1"/>
  <c r="I653" i="1" s="1"/>
  <c r="BQ1047" i="1"/>
  <c r="H653" i="1" s="1"/>
  <c r="BP1047" i="1"/>
  <c r="G653" i="1" s="1"/>
  <c r="BO1047" i="1"/>
  <c r="F653" i="1" s="1"/>
  <c r="BN1047" i="1"/>
  <c r="E653" i="1" s="1"/>
  <c r="BM1047" i="1"/>
  <c r="D653" i="1" s="1"/>
  <c r="BL1047" i="1"/>
  <c r="C653" i="1" s="1"/>
  <c r="BU1046" i="1"/>
  <c r="L651" i="1" s="1"/>
  <c r="BT1046" i="1"/>
  <c r="K651" i="1" s="1"/>
  <c r="BS1046" i="1"/>
  <c r="J651" i="1" s="1"/>
  <c r="BR1046" i="1"/>
  <c r="I651" i="1" s="1"/>
  <c r="BQ1046" i="1"/>
  <c r="H651" i="1" s="1"/>
  <c r="BP1046" i="1"/>
  <c r="G651" i="1" s="1"/>
  <c r="BO1046" i="1"/>
  <c r="F651" i="1" s="1"/>
  <c r="BN1046" i="1"/>
  <c r="E651" i="1" s="1"/>
  <c r="BM1046" i="1"/>
  <c r="D651" i="1" s="1"/>
  <c r="BL1046" i="1"/>
  <c r="C651" i="1" s="1"/>
  <c r="BU1045" i="1"/>
  <c r="L649" i="1" s="1"/>
  <c r="BT1045" i="1"/>
  <c r="K649" i="1" s="1"/>
  <c r="BS1045" i="1"/>
  <c r="J649" i="1" s="1"/>
  <c r="BR1045" i="1"/>
  <c r="I649" i="1" s="1"/>
  <c r="BQ1045" i="1"/>
  <c r="H649" i="1" s="1"/>
  <c r="BP1045" i="1"/>
  <c r="G649" i="1" s="1"/>
  <c r="BO1045" i="1"/>
  <c r="F649" i="1" s="1"/>
  <c r="BN1045" i="1"/>
  <c r="E649" i="1" s="1"/>
  <c r="BM1045" i="1"/>
  <c r="D649" i="1" s="1"/>
  <c r="BL1045" i="1"/>
  <c r="C649" i="1" s="1"/>
  <c r="BU1044" i="1"/>
  <c r="L644" i="1" s="1"/>
  <c r="BT1044" i="1"/>
  <c r="K644" i="1" s="1"/>
  <c r="BS1044" i="1"/>
  <c r="J644" i="1" s="1"/>
  <c r="BR1044" i="1"/>
  <c r="I644" i="1" s="1"/>
  <c r="BQ1044" i="1"/>
  <c r="H644" i="1" s="1"/>
  <c r="BP1044" i="1"/>
  <c r="G644" i="1" s="1"/>
  <c r="BO1044" i="1"/>
  <c r="F644" i="1" s="1"/>
  <c r="BN1044" i="1"/>
  <c r="E644" i="1" s="1"/>
  <c r="BM1044" i="1"/>
  <c r="D644" i="1" s="1"/>
  <c r="BL1044" i="1"/>
  <c r="C644" i="1" s="1"/>
  <c r="BU1043" i="1"/>
  <c r="L642" i="1" s="1"/>
  <c r="BT1043" i="1"/>
  <c r="K642" i="1" s="1"/>
  <c r="BS1043" i="1"/>
  <c r="J642" i="1" s="1"/>
  <c r="BR1043" i="1"/>
  <c r="I642" i="1" s="1"/>
  <c r="BQ1043" i="1"/>
  <c r="H642" i="1" s="1"/>
  <c r="BP1043" i="1"/>
  <c r="G642" i="1" s="1"/>
  <c r="BO1043" i="1"/>
  <c r="F642" i="1" s="1"/>
  <c r="BN1043" i="1"/>
  <c r="E642" i="1" s="1"/>
  <c r="BM1043" i="1"/>
  <c r="D642" i="1" s="1"/>
  <c r="BL1043" i="1"/>
  <c r="C642" i="1" s="1"/>
  <c r="BU1042" i="1"/>
  <c r="L640" i="1" s="1"/>
  <c r="BT1042" i="1"/>
  <c r="K640" i="1" s="1"/>
  <c r="BS1042" i="1"/>
  <c r="J640" i="1" s="1"/>
  <c r="BR1042" i="1"/>
  <c r="I640" i="1" s="1"/>
  <c r="BQ1042" i="1"/>
  <c r="H640" i="1" s="1"/>
  <c r="BP1042" i="1"/>
  <c r="G640" i="1" s="1"/>
  <c r="BO1042" i="1"/>
  <c r="F640" i="1" s="1"/>
  <c r="BN1042" i="1"/>
  <c r="E640" i="1" s="1"/>
  <c r="BM1042" i="1"/>
  <c r="D640" i="1" s="1"/>
  <c r="BL1042" i="1"/>
  <c r="C640" i="1" s="1"/>
  <c r="BU1041" i="1"/>
  <c r="L638" i="1" s="1"/>
  <c r="BT1041" i="1"/>
  <c r="K638" i="1" s="1"/>
  <c r="BS1041" i="1"/>
  <c r="J638" i="1" s="1"/>
  <c r="BR1041" i="1"/>
  <c r="I638" i="1" s="1"/>
  <c r="BQ1041" i="1"/>
  <c r="H638" i="1" s="1"/>
  <c r="BQ1040" i="1"/>
  <c r="H636" i="1" s="1"/>
  <c r="BP1041" i="1"/>
  <c r="G638" i="1" s="1"/>
  <c r="BO1041" i="1"/>
  <c r="F638" i="1" s="1"/>
  <c r="BN1041" i="1"/>
  <c r="E638" i="1" s="1"/>
  <c r="BM1041" i="1"/>
  <c r="D638" i="1" s="1"/>
  <c r="BL1041" i="1"/>
  <c r="C638" i="1" s="1"/>
  <c r="BU1040" i="1"/>
  <c r="L636" i="1" s="1"/>
  <c r="BT1040" i="1"/>
  <c r="K636" i="1" s="1"/>
  <c r="BS1040" i="1"/>
  <c r="J636" i="1" s="1"/>
  <c r="BR1040" i="1"/>
  <c r="I636" i="1" s="1"/>
  <c r="BP1040" i="1"/>
  <c r="G636" i="1" s="1"/>
  <c r="BO1040" i="1"/>
  <c r="F636" i="1" s="1"/>
  <c r="BN1040" i="1"/>
  <c r="E636" i="1" s="1"/>
  <c r="BM1040" i="1"/>
  <c r="D636" i="1" s="1"/>
  <c r="BL1040" i="1"/>
  <c r="C636" i="1" s="1"/>
  <c r="BU1039" i="1"/>
  <c r="L634" i="1" s="1"/>
  <c r="BT1039" i="1"/>
  <c r="K634" i="1" s="1"/>
  <c r="BS1039" i="1"/>
  <c r="J634" i="1" s="1"/>
  <c r="BR1039" i="1"/>
  <c r="I634" i="1" s="1"/>
  <c r="BQ1039" i="1"/>
  <c r="H634" i="1" s="1"/>
  <c r="BP1039" i="1"/>
  <c r="G634" i="1" s="1"/>
  <c r="BO1039" i="1"/>
  <c r="F634" i="1" s="1"/>
  <c r="BN1039" i="1"/>
  <c r="E634" i="1" s="1"/>
  <c r="BM1039" i="1"/>
  <c r="D634" i="1" s="1"/>
  <c r="BL1039" i="1"/>
  <c r="C634" i="1" s="1"/>
  <c r="BU1038" i="1"/>
  <c r="L632" i="1" s="1"/>
  <c r="BT1038" i="1"/>
  <c r="K632" i="1" s="1"/>
  <c r="BS1038" i="1"/>
  <c r="J632" i="1" s="1"/>
  <c r="BR1038" i="1"/>
  <c r="I632" i="1" s="1"/>
  <c r="BQ1038" i="1"/>
  <c r="H632" i="1" s="1"/>
  <c r="BP1038" i="1"/>
  <c r="G632" i="1" s="1"/>
  <c r="BO1038" i="1"/>
  <c r="F632" i="1" s="1"/>
  <c r="BN1038" i="1"/>
  <c r="E632" i="1" s="1"/>
  <c r="BM1038" i="1"/>
  <c r="D632" i="1" s="1"/>
  <c r="BL1038" i="1"/>
  <c r="C632" i="1" s="1"/>
  <c r="BU1037" i="1"/>
  <c r="L630" i="1" s="1"/>
  <c r="BT1037" i="1"/>
  <c r="K630" i="1" s="1"/>
  <c r="BS1037" i="1"/>
  <c r="J630" i="1" s="1"/>
  <c r="BR1037" i="1"/>
  <c r="I630" i="1" s="1"/>
  <c r="BQ1037" i="1"/>
  <c r="H630" i="1" s="1"/>
  <c r="BP1037" i="1"/>
  <c r="G630" i="1" s="1"/>
  <c r="BO1037" i="1"/>
  <c r="F630" i="1" s="1"/>
  <c r="BN1037" i="1"/>
  <c r="E630" i="1" s="1"/>
  <c r="BM1037" i="1"/>
  <c r="D630" i="1" s="1"/>
  <c r="BL1037" i="1"/>
  <c r="C630" i="1" s="1"/>
  <c r="BX1034" i="1"/>
  <c r="BU1036" i="1"/>
  <c r="L628" i="1" s="1"/>
  <c r="BT1036" i="1"/>
  <c r="K628" i="1" s="1"/>
  <c r="BS1036" i="1"/>
  <c r="J628" i="1" s="1"/>
  <c r="BR1036" i="1"/>
  <c r="I628" i="1" s="1"/>
  <c r="BQ1036" i="1"/>
  <c r="H628" i="1" s="1"/>
  <c r="BR1035" i="1"/>
  <c r="I626" i="1" s="1"/>
  <c r="BS1035" i="1"/>
  <c r="J626" i="1" s="1"/>
  <c r="BP1036" i="1"/>
  <c r="G628" i="1" s="1"/>
  <c r="BO1036" i="1"/>
  <c r="F628" i="1" s="1"/>
  <c r="BN1036" i="1"/>
  <c r="E628" i="1" s="1"/>
  <c r="BM1036" i="1"/>
  <c r="D628" i="1" s="1"/>
  <c r="BL1036" i="1"/>
  <c r="C628" i="1" s="1"/>
  <c r="BY1035" i="1"/>
  <c r="BX1035" i="1"/>
  <c r="BU1035" i="1"/>
  <c r="L626" i="1" s="1"/>
  <c r="BT1035" i="1"/>
  <c r="K626" i="1" s="1"/>
  <c r="BQ1035" i="1"/>
  <c r="H626" i="1" s="1"/>
  <c r="BP1035" i="1"/>
  <c r="G626" i="1" s="1"/>
  <c r="BO1035" i="1"/>
  <c r="F626" i="1" s="1"/>
  <c r="BN1035" i="1"/>
  <c r="E626" i="1" s="1"/>
  <c r="BM1035" i="1"/>
  <c r="D626" i="1" s="1"/>
  <c r="BL1035" i="1"/>
  <c r="C626" i="1" s="1"/>
  <c r="BI1035" i="1"/>
  <c r="A19" i="2"/>
  <c r="M558" i="2" a="1"/>
  <c r="M558" i="2" s="1"/>
  <c r="B557" i="2"/>
  <c r="D557" i="2"/>
  <c r="E557" i="2"/>
  <c r="F557" i="2"/>
  <c r="G557" i="2"/>
  <c r="H557" i="2"/>
  <c r="B555" i="2"/>
  <c r="D555" i="2"/>
  <c r="E555" i="2"/>
  <c r="F555" i="2"/>
  <c r="G555" i="2"/>
  <c r="H555" i="2"/>
  <c r="B556" i="2"/>
  <c r="D556" i="2"/>
  <c r="E556" i="2"/>
  <c r="F556" i="2"/>
  <c r="G556" i="2"/>
  <c r="H556" i="2"/>
  <c r="B539" i="2"/>
  <c r="D539" i="2"/>
  <c r="E539" i="2"/>
  <c r="F539" i="2"/>
  <c r="G539" i="2"/>
  <c r="H539" i="2"/>
  <c r="B540" i="2"/>
  <c r="D540" i="2"/>
  <c r="E540" i="2"/>
  <c r="F540" i="2"/>
  <c r="G540" i="2"/>
  <c r="H540" i="2"/>
  <c r="B541" i="2"/>
  <c r="D541" i="2"/>
  <c r="E541" i="2"/>
  <c r="F541" i="2"/>
  <c r="G541" i="2"/>
  <c r="H541" i="2"/>
  <c r="B542" i="2"/>
  <c r="D542" i="2"/>
  <c r="E542" i="2"/>
  <c r="F542" i="2"/>
  <c r="G542" i="2"/>
  <c r="H542" i="2"/>
  <c r="B543" i="2"/>
  <c r="D543" i="2"/>
  <c r="E543" i="2"/>
  <c r="F543" i="2"/>
  <c r="G543" i="2"/>
  <c r="H543" i="2"/>
  <c r="B544" i="2"/>
  <c r="D544" i="2"/>
  <c r="E544" i="2"/>
  <c r="F544" i="2"/>
  <c r="G544" i="2"/>
  <c r="H544" i="2"/>
  <c r="B545" i="2"/>
  <c r="D545" i="2"/>
  <c r="E545" i="2"/>
  <c r="F545" i="2"/>
  <c r="G545" i="2"/>
  <c r="H545" i="2"/>
  <c r="B546" i="2"/>
  <c r="D546" i="2"/>
  <c r="E546" i="2"/>
  <c r="F546" i="2"/>
  <c r="G546" i="2"/>
  <c r="H546" i="2"/>
  <c r="B547" i="2"/>
  <c r="D547" i="2"/>
  <c r="E547" i="2"/>
  <c r="F547" i="2"/>
  <c r="G547" i="2"/>
  <c r="H547" i="2"/>
  <c r="B548" i="2"/>
  <c r="D548" i="2"/>
  <c r="E548" i="2"/>
  <c r="F548" i="2"/>
  <c r="G548" i="2"/>
  <c r="H548" i="2"/>
  <c r="B549" i="2"/>
  <c r="D549" i="2"/>
  <c r="E549" i="2"/>
  <c r="F549" i="2"/>
  <c r="G549" i="2"/>
  <c r="H549" i="2"/>
  <c r="B550" i="2"/>
  <c r="D550" i="2"/>
  <c r="E550" i="2"/>
  <c r="F550" i="2"/>
  <c r="G550" i="2"/>
  <c r="H550" i="2"/>
  <c r="B551" i="2"/>
  <c r="D551" i="2"/>
  <c r="E551" i="2"/>
  <c r="F551" i="2"/>
  <c r="G551" i="2"/>
  <c r="H551" i="2"/>
  <c r="B552" i="2"/>
  <c r="D552" i="2"/>
  <c r="E552" i="2"/>
  <c r="F552" i="2"/>
  <c r="G552" i="2"/>
  <c r="H552" i="2"/>
  <c r="B553" i="2"/>
  <c r="D553" i="2"/>
  <c r="E553" i="2"/>
  <c r="F553" i="2"/>
  <c r="G553" i="2"/>
  <c r="H553" i="2"/>
  <c r="B554" i="2"/>
  <c r="D554" i="2"/>
  <c r="E554" i="2"/>
  <c r="F554" i="2"/>
  <c r="G554" i="2"/>
  <c r="H554" i="2"/>
  <c r="D538" i="2"/>
  <c r="E538" i="2"/>
  <c r="F538" i="2"/>
  <c r="G538" i="2"/>
  <c r="H538" i="2"/>
  <c r="B538" i="2"/>
  <c r="D661" i="1" l="1"/>
  <c r="C657" i="1"/>
  <c r="L657" i="1"/>
  <c r="F661" i="1"/>
  <c r="CF1038" i="1"/>
  <c r="CD1038" i="1"/>
  <c r="CE1038" i="1"/>
  <c r="CJ1054" i="1"/>
  <c r="CC1054" i="1"/>
  <c r="CT1054" i="1" s="1" a="1"/>
  <c r="CT1054" i="1" s="1"/>
  <c r="DI1047" i="1"/>
  <c r="DG1047" i="1"/>
  <c r="DH1047" i="1"/>
  <c r="CM1039" i="1"/>
  <c r="CC1039" i="1"/>
  <c r="CT1039" i="1" s="1" a="1"/>
  <c r="CT1039" i="1" s="1"/>
  <c r="CM1043" i="1"/>
  <c r="CN1043" i="1" s="1"/>
  <c r="CC1043" i="1"/>
  <c r="CT1043" i="1" s="1" a="1"/>
  <c r="CT1043" i="1" s="1"/>
  <c r="CJ1047" i="1"/>
  <c r="CC1047" i="1"/>
  <c r="CT1047" i="1" s="1" a="1"/>
  <c r="CT1047" i="1" s="1"/>
  <c r="CM1051" i="1"/>
  <c r="CN1051" i="1" s="1"/>
  <c r="CC1051" i="1"/>
  <c r="DI1036" i="1"/>
  <c r="DH1036" i="1"/>
  <c r="DG1036" i="1"/>
  <c r="DI1040" i="1"/>
  <c r="DH1040" i="1"/>
  <c r="DG1040" i="1"/>
  <c r="DI1044" i="1"/>
  <c r="DH1044" i="1"/>
  <c r="DG1044" i="1"/>
  <c r="DI1048" i="1"/>
  <c r="DH1048" i="1"/>
  <c r="DG1048" i="1"/>
  <c r="DI1052" i="1"/>
  <c r="DH1052" i="1"/>
  <c r="DG1052" i="1"/>
  <c r="G657" i="1"/>
  <c r="K657" i="1"/>
  <c r="H661" i="1"/>
  <c r="CF1042" i="1"/>
  <c r="CD1042" i="1"/>
  <c r="CE1042" i="1"/>
  <c r="DI1039" i="1"/>
  <c r="DG1039" i="1"/>
  <c r="DH1039" i="1"/>
  <c r="DI1051" i="1"/>
  <c r="DH1051" i="1"/>
  <c r="DG1051" i="1"/>
  <c r="I661" i="1"/>
  <c r="CM1036" i="1"/>
  <c r="CC1036" i="1"/>
  <c r="CA1040" i="1"/>
  <c r="CB1040" i="1" s="1"/>
  <c r="CC1040" i="1"/>
  <c r="CA1044" i="1"/>
  <c r="CB1044" i="1" s="1"/>
  <c r="CC1044" i="1"/>
  <c r="CA1048" i="1"/>
  <c r="CB1048" i="1" s="1"/>
  <c r="CC1048" i="1"/>
  <c r="CA1052" i="1"/>
  <c r="CB1052" i="1" s="1"/>
  <c r="CC1052" i="1"/>
  <c r="DG1037" i="1"/>
  <c r="DH1037" i="1"/>
  <c r="DI1037" i="1"/>
  <c r="DH1041" i="1"/>
  <c r="DG1041" i="1"/>
  <c r="DI1041" i="1"/>
  <c r="DI1045" i="1"/>
  <c r="DH1045" i="1"/>
  <c r="DG1045" i="1"/>
  <c r="DG1049" i="1"/>
  <c r="DI1049" i="1"/>
  <c r="DH1049" i="1"/>
  <c r="DH1053" i="1"/>
  <c r="DG1053" i="1"/>
  <c r="DI1053" i="1"/>
  <c r="E657" i="1"/>
  <c r="J661" i="1"/>
  <c r="BY1034" i="1"/>
  <c r="DF1035" i="1"/>
  <c r="CJ1046" i="1"/>
  <c r="CC1046" i="1"/>
  <c r="CJ1050" i="1"/>
  <c r="CC1050" i="1"/>
  <c r="DI1043" i="1"/>
  <c r="DH1043" i="1"/>
  <c r="DG1043" i="1"/>
  <c r="DJ1043" i="1" s="1"/>
  <c r="CJ1035" i="1"/>
  <c r="CC1035" i="1"/>
  <c r="CJ1037" i="1"/>
  <c r="CC1037" i="1"/>
  <c r="CJ1041" i="1"/>
  <c r="CC1041" i="1"/>
  <c r="CM1045" i="1"/>
  <c r="CN1045" i="1" s="1"/>
  <c r="CC1045" i="1"/>
  <c r="CT1045" i="1" s="1" a="1"/>
  <c r="CT1045" i="1" s="1"/>
  <c r="CF1049" i="1"/>
  <c r="CE1049" i="1"/>
  <c r="CD1049" i="1"/>
  <c r="CM1053" i="1"/>
  <c r="CN1053" i="1" s="1"/>
  <c r="CC1053" i="1"/>
  <c r="CT1053" i="1" s="1" a="1"/>
  <c r="CT1053" i="1" s="1"/>
  <c r="DI1038" i="1"/>
  <c r="DG1038" i="1"/>
  <c r="DH1038" i="1"/>
  <c r="DH1042" i="1"/>
  <c r="DI1042" i="1"/>
  <c r="DG1042" i="1"/>
  <c r="DG1046" i="1"/>
  <c r="DH1046" i="1"/>
  <c r="DI1046" i="1"/>
  <c r="DI1050" i="1"/>
  <c r="DH1050" i="1"/>
  <c r="DG1050" i="1"/>
  <c r="DI1054" i="1"/>
  <c r="DG1054" i="1"/>
  <c r="DH1054" i="1"/>
  <c r="CT1044" i="1" a="1"/>
  <c r="CT1044" i="1" s="1"/>
  <c r="CT1049" i="1" a="1"/>
  <c r="CT1049" i="1" s="1"/>
  <c r="CT1052" i="1" a="1"/>
  <c r="CT1052" i="1" s="1"/>
  <c r="BZ1052" i="1"/>
  <c r="BZ1049" i="1"/>
  <c r="BZ1050" i="1"/>
  <c r="BV1047" i="1"/>
  <c r="M653" i="1" s="1"/>
  <c r="BV1054" i="1"/>
  <c r="M667" i="1" s="1"/>
  <c r="BZ1038" i="1"/>
  <c r="CJ1049" i="1"/>
  <c r="BZ1040" i="1"/>
  <c r="CH1048" i="1"/>
  <c r="CI1048" i="1" s="1"/>
  <c r="CM1052" i="1"/>
  <c r="CN1052" i="1" s="1"/>
  <c r="CJ1053" i="1"/>
  <c r="BV1050" i="1"/>
  <c r="M659" i="1" s="1"/>
  <c r="BZ1042" i="1"/>
  <c r="CH1044" i="1"/>
  <c r="CI1044" i="1" s="1"/>
  <c r="CM1048" i="1"/>
  <c r="CN1048" i="1" s="1"/>
  <c r="CA1046" i="1"/>
  <c r="CB1046" i="1" s="1"/>
  <c r="BV1038" i="1"/>
  <c r="M632" i="1" s="1"/>
  <c r="BV1039" i="1"/>
  <c r="M634" i="1" s="1"/>
  <c r="CR1061" i="1" s="1"/>
  <c r="BZ1045" i="1"/>
  <c r="CA1054" i="1"/>
  <c r="CB1054" i="1" s="1"/>
  <c r="CA1038" i="1"/>
  <c r="CB1038" i="1" s="1"/>
  <c r="CH1040" i="1"/>
  <c r="CI1040" i="1" s="1"/>
  <c r="CJ1045" i="1"/>
  <c r="CM1044" i="1"/>
  <c r="CN1044" i="1" s="1"/>
  <c r="CA1042" i="1"/>
  <c r="CB1042" i="1" s="1"/>
  <c r="CA1050" i="1"/>
  <c r="CB1050" i="1" s="1"/>
  <c r="CH1052" i="1"/>
  <c r="CI1052" i="1" s="1"/>
  <c r="CM1040" i="1"/>
  <c r="CA1047" i="1"/>
  <c r="CB1047" i="1" s="1"/>
  <c r="CA1039" i="1"/>
  <c r="CB1039" i="1" s="1"/>
  <c r="CH1051" i="1"/>
  <c r="CI1051" i="1" s="1"/>
  <c r="CH1047" i="1"/>
  <c r="CI1047" i="1" s="1"/>
  <c r="CJ1039" i="1"/>
  <c r="CJ1048" i="1"/>
  <c r="CJ1040" i="1"/>
  <c r="CM1047" i="1"/>
  <c r="CN1047" i="1" s="1"/>
  <c r="BZ1048" i="1"/>
  <c r="BZ1037" i="1"/>
  <c r="BZ1041" i="1"/>
  <c r="BZ1053" i="1"/>
  <c r="CA1053" i="1"/>
  <c r="CB1053" i="1" s="1"/>
  <c r="CA1049" i="1"/>
  <c r="CB1049" i="1" s="1"/>
  <c r="CA1045" i="1"/>
  <c r="CB1045" i="1" s="1"/>
  <c r="CA1041" i="1"/>
  <c r="CB1041" i="1" s="1"/>
  <c r="CH1054" i="1"/>
  <c r="CI1054" i="1" s="1"/>
  <c r="CH1050" i="1"/>
  <c r="CI1050" i="1" s="1"/>
  <c r="CH1046" i="1"/>
  <c r="CI1046" i="1" s="1"/>
  <c r="CH1042" i="1"/>
  <c r="CI1042" i="1" s="1"/>
  <c r="CH1038" i="1"/>
  <c r="CI1038" i="1" s="1"/>
  <c r="CJ1038" i="1"/>
  <c r="CJ1051" i="1"/>
  <c r="CJ1043" i="1"/>
  <c r="CM1054" i="1"/>
  <c r="CN1054" i="1" s="1"/>
  <c r="CM1050" i="1"/>
  <c r="CM1046" i="1"/>
  <c r="CN1046" i="1" s="1"/>
  <c r="CM1042" i="1"/>
  <c r="CM1038" i="1"/>
  <c r="BZ1039" i="1"/>
  <c r="CA1051" i="1"/>
  <c r="CB1051" i="1" s="1"/>
  <c r="CA1043" i="1"/>
  <c r="CB1043" i="1" s="1"/>
  <c r="BV1037" i="1"/>
  <c r="M630" i="1" s="1"/>
  <c r="CH1043" i="1"/>
  <c r="CI1043" i="1" s="1"/>
  <c r="CH1039" i="1"/>
  <c r="CI1039" i="1" s="1"/>
  <c r="CJ1052" i="1"/>
  <c r="CJ1044" i="1"/>
  <c r="BZ1044" i="1"/>
  <c r="BZ1046" i="1"/>
  <c r="BZ1054" i="1"/>
  <c r="CH1053" i="1"/>
  <c r="CI1053" i="1" s="1"/>
  <c r="CH1049" i="1"/>
  <c r="CI1049" i="1" s="1"/>
  <c r="CH1045" i="1"/>
  <c r="CI1045" i="1" s="1"/>
  <c r="CH1041" i="1"/>
  <c r="CI1041" i="1" s="1"/>
  <c r="CH1037" i="1"/>
  <c r="CI1037" i="1" s="1"/>
  <c r="CJ1042" i="1"/>
  <c r="CM1049" i="1"/>
  <c r="CN1049" i="1" s="1"/>
  <c r="CM1041" i="1"/>
  <c r="CM1037" i="1"/>
  <c r="CH1035" i="1"/>
  <c r="CI1035" i="1" s="1"/>
  <c r="BZ1035" i="1"/>
  <c r="CA1035" i="1"/>
  <c r="CB1035" i="1" s="1"/>
  <c r="CM1035" i="1"/>
  <c r="CJ1036" i="1"/>
  <c r="BV1036" i="1"/>
  <c r="BZ1036" i="1"/>
  <c r="CH1036" i="1"/>
  <c r="CI1036" i="1" s="1"/>
  <c r="CA1037" i="1"/>
  <c r="CB1037" i="1" s="1"/>
  <c r="CA1036" i="1"/>
  <c r="CB1036" i="1" s="1"/>
  <c r="BZ1051" i="1"/>
  <c r="BZ1047" i="1"/>
  <c r="BZ1043" i="1"/>
  <c r="BV1053" i="1"/>
  <c r="M665" i="1" s="1"/>
  <c r="BV1052" i="1"/>
  <c r="M663" i="1" s="1"/>
  <c r="BV1051" i="1"/>
  <c r="M661" i="1" s="1"/>
  <c r="BV1049" i="1"/>
  <c r="M657" i="1" s="1"/>
  <c r="BV1048" i="1"/>
  <c r="M655" i="1" s="1"/>
  <c r="BV1046" i="1"/>
  <c r="M651" i="1" s="1"/>
  <c r="BV1045" i="1"/>
  <c r="M649" i="1" s="1"/>
  <c r="BV1044" i="1"/>
  <c r="M644" i="1" s="1"/>
  <c r="BV1043" i="1"/>
  <c r="M642" i="1" s="1"/>
  <c r="BV1042" i="1"/>
  <c r="M640" i="1" s="1"/>
  <c r="CR1064" i="1" s="1"/>
  <c r="BV1041" i="1"/>
  <c r="M638" i="1" s="1"/>
  <c r="BV1040" i="1"/>
  <c r="M636" i="1" s="1"/>
  <c r="CR1062" i="1" s="1"/>
  <c r="BV1035" i="1"/>
  <c r="M626" i="1" s="1"/>
  <c r="D13" i="5"/>
  <c r="F601" i="5"/>
  <c r="C601" i="5" s="1"/>
  <c r="B2" i="5" s="1"/>
  <c r="CR1066" i="1" l="1"/>
  <c r="CR1067" i="1"/>
  <c r="CS1067" i="1" s="1"/>
  <c r="CR1073" i="1"/>
  <c r="CS1073" i="1" s="1"/>
  <c r="CR1059" i="1"/>
  <c r="CS1059" i="1" s="1"/>
  <c r="CR1076" i="1"/>
  <c r="CS1076" i="1" s="1"/>
  <c r="CR1068" i="1"/>
  <c r="CS1068" i="1" s="1"/>
  <c r="CR1074" i="1"/>
  <c r="CS1074" i="1" s="1"/>
  <c r="CR1072" i="1"/>
  <c r="CS1072" i="1" s="1"/>
  <c r="CR1069" i="1"/>
  <c r="CS1069" i="1" s="1"/>
  <c r="CR1071" i="1"/>
  <c r="CS1071" i="1" s="1"/>
  <c r="CR1060" i="1"/>
  <c r="CS1060" i="1" s="1"/>
  <c r="CR1057" i="1"/>
  <c r="CR1065" i="1"/>
  <c r="CR1070" i="1"/>
  <c r="CS1070" i="1" s="1"/>
  <c r="CR1075" i="1"/>
  <c r="CS1075" i="1" s="1"/>
  <c r="CN1040" i="1"/>
  <c r="CN1039" i="1"/>
  <c r="DJ1048" i="1"/>
  <c r="CN1042" i="1"/>
  <c r="CN1041" i="1"/>
  <c r="M628" i="1"/>
  <c r="DJ1046" i="1"/>
  <c r="DJ1053" i="1"/>
  <c r="CG1042" i="1"/>
  <c r="DJ1042" i="1"/>
  <c r="CG1049" i="1"/>
  <c r="DJ1045" i="1"/>
  <c r="DJ1051" i="1"/>
  <c r="DJ1052" i="1"/>
  <c r="DJ1036" i="1"/>
  <c r="DJ1049" i="1"/>
  <c r="CN1038" i="1"/>
  <c r="CN1050" i="1"/>
  <c r="CF1045" i="1"/>
  <c r="CE1045" i="1"/>
  <c r="CD1045" i="1"/>
  <c r="CD1048" i="1"/>
  <c r="CE1048" i="1"/>
  <c r="CF1048" i="1"/>
  <c r="CD1040" i="1"/>
  <c r="CE1040" i="1"/>
  <c r="CF1040" i="1"/>
  <c r="CF1051" i="1"/>
  <c r="CE1051" i="1"/>
  <c r="CD1051" i="1"/>
  <c r="CT1048" i="1" a="1"/>
  <c r="CT1048" i="1" s="1"/>
  <c r="DJ1054" i="1"/>
  <c r="DJ1038" i="1"/>
  <c r="CF1046" i="1"/>
  <c r="CD1046" i="1"/>
  <c r="CE1046" i="1"/>
  <c r="DJ1041" i="1"/>
  <c r="DJ1037" i="1"/>
  <c r="DJ1039" i="1"/>
  <c r="DJ1047" i="1"/>
  <c r="CF1037" i="1"/>
  <c r="CE1037" i="1"/>
  <c r="CD1037" i="1"/>
  <c r="CS1057" i="1"/>
  <c r="CS1065" i="1"/>
  <c r="CS1062" i="1"/>
  <c r="CS1066" i="1"/>
  <c r="CS1061" i="1"/>
  <c r="CT1051" i="1" a="1"/>
  <c r="CT1051" i="1" s="1"/>
  <c r="CF1041" i="1"/>
  <c r="CE1041" i="1"/>
  <c r="CD1041" i="1"/>
  <c r="CF1035" i="1"/>
  <c r="CE1035" i="1"/>
  <c r="CD1035" i="1"/>
  <c r="CD1052" i="1"/>
  <c r="CE1052" i="1"/>
  <c r="CF1052" i="1"/>
  <c r="CD1044" i="1"/>
  <c r="CE1044" i="1"/>
  <c r="CF1044" i="1"/>
  <c r="CD1036" i="1"/>
  <c r="CE1036" i="1"/>
  <c r="CF1036" i="1"/>
  <c r="DJ1040" i="1"/>
  <c r="CF1047" i="1"/>
  <c r="CE1047" i="1"/>
  <c r="CD1047" i="1"/>
  <c r="CF1039" i="1"/>
  <c r="CE1039" i="1"/>
  <c r="CD1039" i="1"/>
  <c r="CG1038" i="1"/>
  <c r="CS1064" i="1"/>
  <c r="CF1043" i="1"/>
  <c r="CE1043" i="1"/>
  <c r="CD1043" i="1"/>
  <c r="CS1063" i="1"/>
  <c r="CT1046" i="1" a="1"/>
  <c r="CT1046" i="1" s="1"/>
  <c r="DJ1050" i="1"/>
  <c r="CF1053" i="1"/>
  <c r="CE1053" i="1"/>
  <c r="CD1053" i="1"/>
  <c r="CF1050" i="1"/>
  <c r="CD1050" i="1"/>
  <c r="CE1050" i="1"/>
  <c r="DI1035" i="1"/>
  <c r="DH1035" i="1"/>
  <c r="DG1035" i="1"/>
  <c r="DJ1044" i="1"/>
  <c r="CF1054" i="1"/>
  <c r="CD1054" i="1"/>
  <c r="CE1054" i="1"/>
  <c r="DS1036" i="1"/>
  <c r="DO1036" i="1" s="1"/>
  <c r="DN1032" i="1" s="1"/>
  <c r="CN1037" i="1"/>
  <c r="CN1035" i="1"/>
  <c r="CN1036" i="1"/>
  <c r="CR1058" i="1" l="1"/>
  <c r="CS1058" i="1" s="1"/>
  <c r="CG1039" i="1"/>
  <c r="CG1044" i="1"/>
  <c r="CG1035" i="1"/>
  <c r="CG1054" i="1"/>
  <c r="CG1040" i="1"/>
  <c r="CG1045" i="1"/>
  <c r="DJ1035" i="1"/>
  <c r="CS1077" i="1"/>
  <c r="CR1085" i="1" s="1"/>
  <c r="CR1077" i="1"/>
  <c r="CG1050" i="1"/>
  <c r="CG1036" i="1"/>
  <c r="CG1043" i="1"/>
  <c r="CG1037" i="1"/>
  <c r="CG1053" i="1"/>
  <c r="CG1047" i="1"/>
  <c r="CG1052" i="1"/>
  <c r="CG1041" i="1"/>
  <c r="CG1046" i="1"/>
  <c r="CG1051" i="1"/>
  <c r="CG1048" i="1"/>
  <c r="AB504" i="2"/>
  <c r="AB505" i="2"/>
  <c r="AB506" i="2"/>
  <c r="AB507" i="2"/>
  <c r="AB508" i="2"/>
  <c r="AB509" i="2"/>
  <c r="AB510" i="2"/>
  <c r="AB511" i="2"/>
  <c r="AB512" i="2"/>
  <c r="AB513" i="2"/>
  <c r="AB514" i="2"/>
  <c r="AB515" i="2"/>
  <c r="AB516" i="2"/>
  <c r="AB517" i="2"/>
  <c r="AB518" i="2"/>
  <c r="AB519" i="2"/>
  <c r="AB520" i="2"/>
  <c r="AB521" i="2"/>
  <c r="AB522" i="2"/>
  <c r="O504" i="2"/>
  <c r="O505" i="2"/>
  <c r="O506" i="2"/>
  <c r="O507" i="2"/>
  <c r="O508" i="2"/>
  <c r="O509" i="2"/>
  <c r="O510" i="2"/>
  <c r="O511" i="2"/>
  <c r="O512" i="2"/>
  <c r="O513" i="2"/>
  <c r="O514" i="2"/>
  <c r="O515" i="2"/>
  <c r="O516" i="2"/>
  <c r="O517" i="2"/>
  <c r="O518" i="2"/>
  <c r="O519" i="2"/>
  <c r="O520" i="2"/>
  <c r="O521" i="2"/>
  <c r="O522" i="2"/>
  <c r="O503" i="2"/>
  <c r="AB503" i="2"/>
  <c r="BB1031" i="1"/>
  <c r="D504" i="2"/>
  <c r="D505" i="2"/>
  <c r="D506" i="2"/>
  <c r="D507" i="2"/>
  <c r="D508" i="2"/>
  <c r="D509" i="2"/>
  <c r="D510" i="2"/>
  <c r="D511" i="2"/>
  <c r="D512" i="2"/>
  <c r="D513" i="2"/>
  <c r="D514" i="2"/>
  <c r="D515" i="2"/>
  <c r="D516" i="2"/>
  <c r="D517" i="2"/>
  <c r="D518" i="2"/>
  <c r="D519" i="2"/>
  <c r="D520" i="2"/>
  <c r="D521" i="2"/>
  <c r="D522" i="2"/>
  <c r="D503" i="2"/>
  <c r="C654" i="5"/>
  <c r="B37" i="5" s="1"/>
  <c r="E641" i="5"/>
  <c r="C646" i="5"/>
  <c r="B34" i="5" s="1"/>
  <c r="C645" i="5"/>
  <c r="B33" i="5" s="1"/>
  <c r="C644" i="5"/>
  <c r="B32" i="5" s="1"/>
  <c r="F641" i="5"/>
  <c r="C641" i="5" s="1"/>
  <c r="B24" i="5" s="1"/>
  <c r="E634" i="5"/>
  <c r="E633" i="5"/>
  <c r="E632" i="5"/>
  <c r="E631" i="5"/>
  <c r="E630" i="5"/>
  <c r="E629" i="5"/>
  <c r="E628" i="5"/>
  <c r="E627" i="5"/>
  <c r="E626" i="5"/>
  <c r="E625" i="5"/>
  <c r="E624" i="5"/>
  <c r="E623" i="5"/>
  <c r="E622" i="5"/>
  <c r="E621" i="5"/>
  <c r="E620" i="5"/>
  <c r="E619" i="5"/>
  <c r="E618" i="5"/>
  <c r="E617" i="5"/>
  <c r="E616" i="5"/>
  <c r="E615" i="5"/>
  <c r="C636" i="4"/>
  <c r="B28" i="4" s="1"/>
  <c r="C22" i="4"/>
  <c r="B30" i="4"/>
  <c r="B27" i="3"/>
  <c r="C633" i="4"/>
  <c r="B25" i="4" s="1"/>
  <c r="C601" i="3"/>
  <c r="D7" i="3" s="1"/>
  <c r="C613" i="5"/>
  <c r="D7" i="5" s="1"/>
  <c r="C601" i="4"/>
  <c r="D7" i="4" s="1"/>
  <c r="E604" i="4"/>
  <c r="E605" i="4"/>
  <c r="E606" i="4"/>
  <c r="E607" i="4"/>
  <c r="E608" i="4"/>
  <c r="E609" i="4"/>
  <c r="E610" i="4"/>
  <c r="E611" i="4"/>
  <c r="E612" i="4"/>
  <c r="E613" i="4"/>
  <c r="E614" i="4"/>
  <c r="E615" i="4"/>
  <c r="E616" i="4"/>
  <c r="E617" i="4"/>
  <c r="E618" i="4"/>
  <c r="E619" i="4"/>
  <c r="E620" i="4"/>
  <c r="E621" i="4"/>
  <c r="E622" i="4"/>
  <c r="E603" i="4"/>
  <c r="C634" i="4"/>
  <c r="B26" i="4" s="1"/>
  <c r="C626" i="4"/>
  <c r="B18" i="4" s="1"/>
  <c r="C627" i="4"/>
  <c r="C19" i="4" s="1"/>
  <c r="C628" i="4"/>
  <c r="C20" i="4" s="1"/>
  <c r="C629" i="4"/>
  <c r="C21" i="4" s="1"/>
  <c r="C630" i="4"/>
  <c r="C631" i="4"/>
  <c r="C23" i="4" s="1"/>
  <c r="C632" i="4"/>
  <c r="C24" i="4" s="1"/>
  <c r="H622" i="4"/>
  <c r="H621" i="4"/>
  <c r="H620" i="4"/>
  <c r="H619" i="4"/>
  <c r="H618" i="4"/>
  <c r="H617" i="4"/>
  <c r="H616" i="4"/>
  <c r="H615" i="4"/>
  <c r="H614" i="4"/>
  <c r="H613" i="4"/>
  <c r="H612" i="4"/>
  <c r="H611" i="4"/>
  <c r="H610" i="4"/>
  <c r="I623" i="4"/>
  <c r="H609" i="4"/>
  <c r="H608" i="4"/>
  <c r="H607" i="4"/>
  <c r="H606" i="4"/>
  <c r="H605" i="4"/>
  <c r="H604" i="4"/>
  <c r="H603" i="4"/>
  <c r="H635" i="5"/>
  <c r="D13" i="4"/>
  <c r="C24" i="3"/>
  <c r="C25" i="3"/>
  <c r="B24" i="3"/>
  <c r="B25" i="3"/>
  <c r="C23" i="3"/>
  <c r="B23" i="3"/>
  <c r="B22" i="3"/>
  <c r="J622" i="3"/>
  <c r="I622" i="3"/>
  <c r="H622" i="3"/>
  <c r="J621" i="3"/>
  <c r="I621" i="3"/>
  <c r="H621" i="3"/>
  <c r="J620" i="3"/>
  <c r="I620" i="3"/>
  <c r="H620" i="3"/>
  <c r="J619" i="3"/>
  <c r="I619" i="3"/>
  <c r="H619" i="3"/>
  <c r="J618" i="3"/>
  <c r="I618" i="3"/>
  <c r="H618" i="3"/>
  <c r="J617" i="3"/>
  <c r="I617" i="3"/>
  <c r="H617" i="3"/>
  <c r="J616" i="3"/>
  <c r="I616" i="3"/>
  <c r="H616" i="3"/>
  <c r="J615" i="3"/>
  <c r="I615" i="3"/>
  <c r="H615" i="3"/>
  <c r="J614" i="3"/>
  <c r="I614" i="3"/>
  <c r="H614" i="3"/>
  <c r="J613" i="3"/>
  <c r="I613" i="3"/>
  <c r="H613" i="3"/>
  <c r="J612" i="3"/>
  <c r="I612" i="3"/>
  <c r="H612" i="3"/>
  <c r="J611" i="3"/>
  <c r="I611" i="3"/>
  <c r="H611" i="3"/>
  <c r="J610" i="3"/>
  <c r="I610" i="3"/>
  <c r="H610" i="3"/>
  <c r="J609" i="3"/>
  <c r="I609" i="3"/>
  <c r="H609" i="3"/>
  <c r="J608" i="3"/>
  <c r="I608" i="3"/>
  <c r="H608" i="3"/>
  <c r="J607" i="3"/>
  <c r="I607" i="3"/>
  <c r="H607" i="3"/>
  <c r="J606" i="3"/>
  <c r="I606" i="3"/>
  <c r="H606" i="3"/>
  <c r="H623" i="3"/>
  <c r="J605" i="3"/>
  <c r="I605" i="3"/>
  <c r="H605" i="3"/>
  <c r="J604" i="3"/>
  <c r="I604" i="3"/>
  <c r="H604" i="3"/>
  <c r="J603" i="3"/>
  <c r="I603" i="3"/>
  <c r="H603" i="3"/>
  <c r="D13" i="3"/>
  <c r="J161" i="1"/>
  <c r="CR1084" i="1" l="1"/>
  <c r="CQ1092" i="1"/>
  <c r="CR1083" i="1"/>
  <c r="CR1082" i="1"/>
  <c r="AM519" i="2"/>
  <c r="AK519" i="2" s="1"/>
  <c r="AM515" i="2"/>
  <c r="AK515" i="2" s="1"/>
  <c r="AM511" i="2"/>
  <c r="AK511" i="2" s="1"/>
  <c r="AM503" i="2"/>
  <c r="AK503" i="2" s="1"/>
  <c r="AM520" i="2"/>
  <c r="AK520" i="2" s="1"/>
  <c r="AM516" i="2"/>
  <c r="AK516" i="2" s="1"/>
  <c r="AM512" i="2"/>
  <c r="AK512" i="2" s="1"/>
  <c r="AM505" i="2"/>
  <c r="AK505" i="2" s="1"/>
  <c r="AM508" i="2"/>
  <c r="AK508" i="2" s="1"/>
  <c r="AM504" i="2"/>
  <c r="AK504" i="2" s="1"/>
  <c r="AM521" i="2"/>
  <c r="AK521" i="2" s="1"/>
  <c r="AM517" i="2"/>
  <c r="AK517" i="2" s="1"/>
  <c r="AM513" i="2"/>
  <c r="AK513" i="2" s="1"/>
  <c r="AM506" i="2"/>
  <c r="AK506" i="2" s="1"/>
  <c r="AM509" i="2"/>
  <c r="AK509" i="2" s="1"/>
  <c r="AM522" i="2"/>
  <c r="AK522" i="2" s="1"/>
  <c r="AM518" i="2"/>
  <c r="AK518" i="2" s="1"/>
  <c r="AM514" i="2"/>
  <c r="AK514" i="2" s="1"/>
  <c r="AM510" i="2"/>
  <c r="AK510" i="2" s="1"/>
  <c r="AM507" i="2"/>
  <c r="AK507" i="2" s="1"/>
  <c r="M219" i="1"/>
  <c r="M243" i="1"/>
  <c r="M267" i="1"/>
  <c r="M291" i="1"/>
  <c r="M315" i="1"/>
  <c r="M339" i="1"/>
  <c r="M363" i="1"/>
  <c r="M387" i="1"/>
  <c r="M411" i="1"/>
  <c r="M435" i="1"/>
  <c r="M459" i="1"/>
  <c r="M483" i="1"/>
  <c r="M507" i="1"/>
  <c r="M531" i="1"/>
  <c r="M555" i="1"/>
  <c r="M579" i="1"/>
  <c r="M608" i="1"/>
  <c r="M584" i="1"/>
  <c r="M560" i="1"/>
  <c r="M536" i="1"/>
  <c r="M512" i="1"/>
  <c r="M488" i="1"/>
  <c r="M464" i="1"/>
  <c r="M440" i="1"/>
  <c r="M416" i="1"/>
  <c r="M392" i="1"/>
  <c r="M368" i="1"/>
  <c r="M344" i="1"/>
  <c r="M320" i="1"/>
  <c r="M296" i="1"/>
  <c r="M272" i="1"/>
  <c r="M248" i="1"/>
  <c r="M224" i="1"/>
  <c r="AX1054" i="1"/>
  <c r="AX1053" i="1"/>
  <c r="AX1052" i="1"/>
  <c r="AX1051" i="1"/>
  <c r="AX1050" i="1"/>
  <c r="AX1049" i="1"/>
  <c r="AX1048" i="1"/>
  <c r="AX1047" i="1"/>
  <c r="AX1046" i="1"/>
  <c r="AX1045" i="1"/>
  <c r="AX1044" i="1"/>
  <c r="AX1043" i="1"/>
  <c r="AX1042" i="1"/>
  <c r="AX1041" i="1"/>
  <c r="AX1040" i="1"/>
  <c r="AX1039" i="1"/>
  <c r="AX1038" i="1"/>
  <c r="AX1037" i="1"/>
  <c r="AX1036" i="1"/>
  <c r="AX1035" i="1"/>
  <c r="AG1053" i="1"/>
  <c r="AG1052" i="1"/>
  <c r="AG1051" i="1"/>
  <c r="AG1050" i="1"/>
  <c r="AG1049" i="1"/>
  <c r="AG1048" i="1"/>
  <c r="AG1047" i="1"/>
  <c r="AG1046" i="1"/>
  <c r="AG1045" i="1"/>
  <c r="AG1044" i="1"/>
  <c r="AG1043" i="1"/>
  <c r="AG1042" i="1"/>
  <c r="AG1041" i="1"/>
  <c r="AG1040" i="1"/>
  <c r="AG1039" i="1"/>
  <c r="AG1038" i="1"/>
  <c r="AG1037" i="1"/>
  <c r="W1054" i="1"/>
  <c r="W1053" i="1"/>
  <c r="W1052" i="1"/>
  <c r="W1051" i="1"/>
  <c r="J554" i="2" s="1"/>
  <c r="W1050" i="1"/>
  <c r="J553" i="2" s="1"/>
  <c r="W1049" i="1"/>
  <c r="J552" i="2" s="1"/>
  <c r="W1048" i="1"/>
  <c r="J551" i="2" s="1"/>
  <c r="W1047" i="1"/>
  <c r="J550" i="2" s="1"/>
  <c r="W1046" i="1"/>
  <c r="J549" i="2" s="1"/>
  <c r="W1045" i="1"/>
  <c r="J548" i="2" s="1"/>
  <c r="W1044" i="1"/>
  <c r="J547" i="2" s="1"/>
  <c r="W1043" i="1"/>
  <c r="J546" i="2" s="1"/>
  <c r="W1042" i="1"/>
  <c r="W1041" i="1"/>
  <c r="W1040" i="1"/>
  <c r="W1039" i="1"/>
  <c r="W1038" i="1"/>
  <c r="W1037" i="1"/>
  <c r="J121" i="1" s="1"/>
  <c r="W1036" i="1"/>
  <c r="W1035" i="1"/>
  <c r="J119" i="1" s="1"/>
  <c r="B619" i="1"/>
  <c r="C616" i="1"/>
  <c r="B595" i="1"/>
  <c r="C592" i="1"/>
  <c r="B571" i="1"/>
  <c r="C568" i="1"/>
  <c r="B547" i="1"/>
  <c r="C544" i="1"/>
  <c r="B523" i="1"/>
  <c r="C520" i="1"/>
  <c r="B499" i="1"/>
  <c r="C496" i="1"/>
  <c r="B475" i="1"/>
  <c r="C472" i="1"/>
  <c r="B451" i="1"/>
  <c r="C448" i="1"/>
  <c r="B427" i="1"/>
  <c r="C424" i="1"/>
  <c r="B403" i="1"/>
  <c r="C400" i="1"/>
  <c r="B379" i="1"/>
  <c r="C376" i="1"/>
  <c r="B355" i="1"/>
  <c r="C352" i="1"/>
  <c r="B331" i="1"/>
  <c r="C328" i="1"/>
  <c r="B307" i="1"/>
  <c r="C304" i="1"/>
  <c r="B283" i="1"/>
  <c r="C280" i="1"/>
  <c r="B259" i="1"/>
  <c r="C256" i="1"/>
  <c r="B235" i="1"/>
  <c r="C232" i="1"/>
  <c r="B211" i="1"/>
  <c r="C208" i="1"/>
  <c r="B187" i="1"/>
  <c r="C184" i="1"/>
  <c r="B163" i="1"/>
  <c r="C160" i="1"/>
  <c r="J557" i="2"/>
  <c r="J556" i="2"/>
  <c r="J555" i="2"/>
  <c r="AV1054" i="1"/>
  <c r="AV1053" i="1"/>
  <c r="AV1052" i="1"/>
  <c r="AV1051" i="1"/>
  <c r="AV1050" i="1"/>
  <c r="AV1049" i="1"/>
  <c r="AV1048" i="1"/>
  <c r="AV1047" i="1"/>
  <c r="AV1046" i="1"/>
  <c r="AV1045" i="1"/>
  <c r="AV1044" i="1"/>
  <c r="AV1043" i="1"/>
  <c r="AV1042" i="1"/>
  <c r="AV1041" i="1"/>
  <c r="AV1040" i="1"/>
  <c r="AV1039" i="1"/>
  <c r="AV1038" i="1"/>
  <c r="AV1037" i="1"/>
  <c r="AV1035" i="1"/>
  <c r="AV1036" i="1"/>
  <c r="Y1054" i="1"/>
  <c r="Y1053" i="1"/>
  <c r="Y1052" i="1"/>
  <c r="Y1051" i="1"/>
  <c r="Y1050" i="1"/>
  <c r="Y1049" i="1"/>
  <c r="Y1048" i="1"/>
  <c r="Y1047" i="1"/>
  <c r="Y1046" i="1"/>
  <c r="Y1045" i="1"/>
  <c r="Y1044" i="1"/>
  <c r="Y1043" i="1"/>
  <c r="Y1042" i="1"/>
  <c r="Y1041" i="1"/>
  <c r="Y1040" i="1"/>
  <c r="Y1039" i="1"/>
  <c r="Y1038" i="1"/>
  <c r="Y1037" i="1"/>
  <c r="Y1035" i="1"/>
  <c r="AT1054" i="1"/>
  <c r="AT1053" i="1"/>
  <c r="AT1052" i="1"/>
  <c r="AT1051" i="1"/>
  <c r="AT1050" i="1"/>
  <c r="AT1049" i="1"/>
  <c r="AT1048" i="1"/>
  <c r="AT1047" i="1"/>
  <c r="AT1046" i="1"/>
  <c r="AT1045" i="1"/>
  <c r="AT1044" i="1"/>
  <c r="AT1043" i="1"/>
  <c r="AT1042" i="1"/>
  <c r="AT1041" i="1"/>
  <c r="AT1040" i="1"/>
  <c r="AT1039" i="1"/>
  <c r="AT1038" i="1"/>
  <c r="AT1037" i="1"/>
  <c r="AT1036" i="1"/>
  <c r="AT1035" i="1"/>
  <c r="X1054" i="1"/>
  <c r="X1053" i="1"/>
  <c r="X1052" i="1"/>
  <c r="X1051" i="1"/>
  <c r="X1050" i="1"/>
  <c r="X1049" i="1"/>
  <c r="X1048" i="1"/>
  <c r="X1047" i="1"/>
  <c r="X1046" i="1"/>
  <c r="X1045" i="1"/>
  <c r="X1044" i="1"/>
  <c r="X1043" i="1"/>
  <c r="X1042" i="1"/>
  <c r="X1041" i="1"/>
  <c r="X1040" i="1"/>
  <c r="X1039" i="1"/>
  <c r="X1038" i="1"/>
  <c r="X1037" i="1"/>
  <c r="X1036" i="1"/>
  <c r="X1035" i="1"/>
  <c r="E1067" i="1"/>
  <c r="E1066" i="1"/>
  <c r="E1065" i="1"/>
  <c r="E1064" i="1"/>
  <c r="E1063" i="1"/>
  <c r="AR1054" i="1"/>
  <c r="AR1053" i="1"/>
  <c r="AR1052" i="1"/>
  <c r="AR1051" i="1"/>
  <c r="AR1050" i="1"/>
  <c r="AR1049" i="1"/>
  <c r="AR1048" i="1"/>
  <c r="AR1047" i="1"/>
  <c r="AR1046" i="1"/>
  <c r="AR1045" i="1"/>
  <c r="AR1044" i="1"/>
  <c r="AR1043" i="1"/>
  <c r="AR1042" i="1"/>
  <c r="AR1041" i="1"/>
  <c r="AR1040" i="1"/>
  <c r="AR1039" i="1"/>
  <c r="AR1038" i="1"/>
  <c r="AR1037" i="1"/>
  <c r="AR1036" i="1"/>
  <c r="AR1035" i="1"/>
  <c r="H1054" i="1"/>
  <c r="AN1054" i="1"/>
  <c r="AP1054" i="1" s="1"/>
  <c r="AN1053" i="1"/>
  <c r="AO1053" i="1" s="1"/>
  <c r="AN1052" i="1"/>
  <c r="AO1052" i="1" s="1"/>
  <c r="AN1051" i="1"/>
  <c r="AP1051" i="1" s="1"/>
  <c r="AN1050" i="1"/>
  <c r="AP1050" i="1" s="1"/>
  <c r="AN1049" i="1"/>
  <c r="AO1049" i="1" s="1"/>
  <c r="AN1048" i="1"/>
  <c r="AO1048" i="1" s="1"/>
  <c r="AN1047" i="1"/>
  <c r="AP1047" i="1" s="1"/>
  <c r="AN1046" i="1"/>
  <c r="AP1046" i="1" s="1"/>
  <c r="AN1045" i="1"/>
  <c r="AO1045" i="1" s="1"/>
  <c r="AN1044" i="1"/>
  <c r="AO1044" i="1" s="1"/>
  <c r="AN1043" i="1"/>
  <c r="AP1043" i="1" s="1"/>
  <c r="AN1042" i="1"/>
  <c r="AP1042" i="1" s="1"/>
  <c r="AN1041" i="1"/>
  <c r="AO1041" i="1" s="1"/>
  <c r="AN1040" i="1"/>
  <c r="AO1040" i="1" s="1"/>
  <c r="AN1039" i="1"/>
  <c r="AN1038" i="1"/>
  <c r="AO1038" i="1" s="1"/>
  <c r="AN1037" i="1"/>
  <c r="AN1036" i="1"/>
  <c r="AO1036" i="1" s="1"/>
  <c r="AN1035" i="1"/>
  <c r="AO1035" i="1" s="1"/>
  <c r="H1053" i="1"/>
  <c r="H1052" i="1"/>
  <c r="H1051" i="1"/>
  <c r="H1050" i="1"/>
  <c r="H1049" i="1"/>
  <c r="H1048" i="1"/>
  <c r="H1047" i="1"/>
  <c r="H1046" i="1"/>
  <c r="H1045" i="1"/>
  <c r="H1044" i="1"/>
  <c r="H1043" i="1"/>
  <c r="H1042" i="1"/>
  <c r="H1041" i="1"/>
  <c r="H1040" i="1"/>
  <c r="H1039" i="1"/>
  <c r="H1038" i="1"/>
  <c r="H1037" i="1"/>
  <c r="H1036" i="1"/>
  <c r="H1035" i="1"/>
  <c r="AM1054" i="1"/>
  <c r="AM1053" i="1"/>
  <c r="AM1052" i="1"/>
  <c r="AM1051" i="1"/>
  <c r="AM1049" i="1"/>
  <c r="AM1050" i="1"/>
  <c r="AM1048" i="1"/>
  <c r="AM1047" i="1"/>
  <c r="AM1046" i="1"/>
  <c r="AM1045" i="1"/>
  <c r="AM1044" i="1"/>
  <c r="AM1043" i="1"/>
  <c r="AM1042" i="1"/>
  <c r="AM1041" i="1"/>
  <c r="AM1040" i="1"/>
  <c r="AM1039" i="1"/>
  <c r="AM1038" i="1"/>
  <c r="AM1037" i="1"/>
  <c r="AM1036" i="1"/>
  <c r="AM1035" i="1"/>
  <c r="J120" i="1" l="1"/>
  <c r="J539" i="2" s="1"/>
  <c r="J124" i="1"/>
  <c r="J543" i="2" s="1"/>
  <c r="J123" i="1"/>
  <c r="J542" i="2" s="1"/>
  <c r="J125" i="1"/>
  <c r="J544" i="2" s="1"/>
  <c r="J122" i="1"/>
  <c r="J541" i="2" s="1"/>
  <c r="J126" i="1"/>
  <c r="J545" i="2" s="1"/>
  <c r="AP1039" i="1"/>
  <c r="AO1039" i="1"/>
  <c r="AP1037" i="1"/>
  <c r="AO1037" i="1"/>
  <c r="CR1086" i="1"/>
  <c r="CR1087" i="1" s="1"/>
  <c r="CS1087" i="1" s="1"/>
  <c r="CT1087" i="1" s="1"/>
  <c r="M176" i="1"/>
  <c r="AO1050" i="1"/>
  <c r="AP1038" i="1"/>
  <c r="M200" i="1"/>
  <c r="J540" i="2"/>
  <c r="AO1046" i="1"/>
  <c r="AP1053" i="1"/>
  <c r="AO1042" i="1"/>
  <c r="AP1049" i="1"/>
  <c r="AO1054" i="1"/>
  <c r="AP1045" i="1"/>
  <c r="AP1041" i="1"/>
  <c r="AP1035" i="1"/>
  <c r="AP1052" i="1"/>
  <c r="AP1044" i="1"/>
  <c r="AO1051" i="1"/>
  <c r="AO1047" i="1"/>
  <c r="AO1043" i="1"/>
  <c r="AP1048" i="1"/>
  <c r="AP1040" i="1"/>
  <c r="AP1036" i="1"/>
  <c r="CU1087" i="1" l="1"/>
  <c r="CV1087" i="1"/>
  <c r="M152" i="1"/>
  <c r="J538" i="2"/>
  <c r="P1078" i="1"/>
  <c r="P1079" i="1"/>
  <c r="P1080" i="1"/>
  <c r="P1081" i="1"/>
  <c r="P1082" i="1"/>
  <c r="P1083" i="1"/>
  <c r="P1084" i="1"/>
  <c r="P1085" i="1"/>
  <c r="P1086" i="1"/>
  <c r="P1087" i="1"/>
  <c r="P1088" i="1"/>
  <c r="P1089" i="1"/>
  <c r="P1090" i="1"/>
  <c r="P1091" i="1"/>
  <c r="P1092" i="1"/>
  <c r="P1093" i="1"/>
  <c r="P1094" i="1"/>
  <c r="P1095" i="1"/>
  <c r="P1096" i="1"/>
  <c r="P1077" i="1"/>
  <c r="AJ1034" i="1"/>
  <c r="M211" i="1"/>
  <c r="B205" i="1"/>
  <c r="B200" i="1"/>
  <c r="B176" i="1"/>
  <c r="B171" i="1"/>
  <c r="B157" i="1"/>
  <c r="B152" i="1"/>
  <c r="B147" i="1"/>
  <c r="B195" i="1"/>
  <c r="C159" i="1"/>
  <c r="C158" i="1"/>
  <c r="CW1087" i="1" l="1"/>
  <c r="CP1089" i="1" s="1"/>
  <c r="B670" i="1" s="1"/>
  <c r="J209" i="1"/>
  <c r="C209" i="1"/>
  <c r="C207" i="1"/>
  <c r="C206" i="1"/>
  <c r="J203" i="1"/>
  <c r="C203" i="1"/>
  <c r="C202" i="1"/>
  <c r="C201" i="1"/>
  <c r="C198" i="1"/>
  <c r="J185" i="1"/>
  <c r="C185" i="1"/>
  <c r="C183" i="1"/>
  <c r="C182" i="1"/>
  <c r="J179" i="1"/>
  <c r="C179" i="1"/>
  <c r="C178" i="1"/>
  <c r="C177" i="1"/>
  <c r="C174" i="1"/>
  <c r="C161" i="1"/>
  <c r="J155" i="1"/>
  <c r="C155" i="1"/>
  <c r="C154" i="1"/>
  <c r="C153" i="1"/>
  <c r="C150" i="1"/>
  <c r="F164" i="1"/>
  <c r="BA1035" i="1" s="1"/>
  <c r="BB1035" i="1" s="1"/>
  <c r="T1077" i="1" s="1"/>
  <c r="AF503" i="2" s="1"/>
  <c r="AA1053" i="1"/>
  <c r="AA1052" i="1"/>
  <c r="AA1051" i="1"/>
  <c r="AA1050" i="1"/>
  <c r="AA1049" i="1"/>
  <c r="AA1048" i="1"/>
  <c r="AA1047" i="1"/>
  <c r="AA1046" i="1"/>
  <c r="AA1045" i="1"/>
  <c r="AA1044" i="1"/>
  <c r="AA1043" i="1"/>
  <c r="AA1042" i="1"/>
  <c r="K126" i="1" s="1"/>
  <c r="AA1041" i="1"/>
  <c r="K125" i="1" s="1"/>
  <c r="AA1040" i="1"/>
  <c r="K124" i="1" s="1"/>
  <c r="AA1039" i="1"/>
  <c r="K123" i="1" s="1"/>
  <c r="AA1038" i="1"/>
  <c r="K122" i="1" s="1"/>
  <c r="I1054" i="1"/>
  <c r="I1053" i="1"/>
  <c r="I1052" i="1"/>
  <c r="I1051" i="1"/>
  <c r="I1050" i="1"/>
  <c r="I1049" i="1"/>
  <c r="I1048" i="1"/>
  <c r="I1047" i="1"/>
  <c r="I1046" i="1"/>
  <c r="I1045" i="1"/>
  <c r="I1044" i="1"/>
  <c r="I1043" i="1"/>
  <c r="I1042" i="1"/>
  <c r="I1041" i="1"/>
  <c r="I1040" i="1"/>
  <c r="I1039" i="1"/>
  <c r="I1038" i="1"/>
  <c r="I1037" i="1"/>
  <c r="I1036" i="1"/>
  <c r="I1035" i="1"/>
  <c r="Z1035" i="1"/>
  <c r="F188" i="1" l="1"/>
  <c r="BA1036" i="1" s="1"/>
  <c r="BB1036" i="1" s="1"/>
  <c r="T1078" i="1" s="1"/>
  <c r="AF504" i="2" s="1"/>
  <c r="C1064" i="1"/>
  <c r="C1065" i="1" s="1"/>
  <c r="D1064" i="1"/>
  <c r="N1054" i="1"/>
  <c r="N1053" i="1"/>
  <c r="N1052" i="1"/>
  <c r="N1051" i="1"/>
  <c r="N1050" i="1"/>
  <c r="N1049" i="1"/>
  <c r="N1048" i="1"/>
  <c r="N1047" i="1"/>
  <c r="N1046" i="1"/>
  <c r="N1045" i="1"/>
  <c r="N1044" i="1"/>
  <c r="N1043" i="1"/>
  <c r="N1038" i="1"/>
  <c r="AE1054" i="1"/>
  <c r="AF1054" i="1" s="1"/>
  <c r="AE1053" i="1"/>
  <c r="AF1053" i="1" s="1"/>
  <c r="AE1052" i="1"/>
  <c r="AF1052" i="1" s="1"/>
  <c r="AE1051" i="1"/>
  <c r="AF1051" i="1" s="1"/>
  <c r="AE1050" i="1"/>
  <c r="AF1050" i="1" s="1"/>
  <c r="AE1049" i="1"/>
  <c r="AF1049" i="1" s="1"/>
  <c r="AE1048" i="1"/>
  <c r="AF1048" i="1" s="1"/>
  <c r="AE1047" i="1"/>
  <c r="AF1047" i="1" s="1"/>
  <c r="AE1046" i="1"/>
  <c r="AF1046" i="1" s="1"/>
  <c r="AE1045" i="1"/>
  <c r="AF1045" i="1" s="1"/>
  <c r="AE1044" i="1"/>
  <c r="AF1044" i="1" s="1"/>
  <c r="AE1043" i="1"/>
  <c r="AF1043" i="1" s="1"/>
  <c r="AE1042" i="1"/>
  <c r="AF1042" i="1" s="1"/>
  <c r="AE1041" i="1"/>
  <c r="AF1041" i="1" s="1"/>
  <c r="AE1040" i="1"/>
  <c r="AF1040" i="1" s="1"/>
  <c r="AE1039" i="1"/>
  <c r="AF1039" i="1" s="1"/>
  <c r="AE1038" i="1"/>
  <c r="AF1038" i="1" s="1"/>
  <c r="AE1037" i="1"/>
  <c r="AF1037" i="1" s="1"/>
  <c r="AD1038" i="1"/>
  <c r="AD1039" i="1"/>
  <c r="AD1040" i="1"/>
  <c r="AD1041" i="1"/>
  <c r="AD1042" i="1"/>
  <c r="AD1043" i="1"/>
  <c r="AD1044" i="1"/>
  <c r="AD1045" i="1"/>
  <c r="AD1046" i="1"/>
  <c r="AD1047" i="1"/>
  <c r="AD1048" i="1"/>
  <c r="AD1049" i="1"/>
  <c r="AD1050" i="1"/>
  <c r="AD1051" i="1"/>
  <c r="AD1052" i="1"/>
  <c r="AD1053" i="1"/>
  <c r="AD1054" i="1"/>
  <c r="Z1039" i="1"/>
  <c r="K542" i="2" s="1"/>
  <c r="Z1040" i="1"/>
  <c r="K543" i="2" s="1"/>
  <c r="Z1041" i="1"/>
  <c r="K544" i="2" s="1"/>
  <c r="Z1042" i="1"/>
  <c r="K545" i="2" s="1"/>
  <c r="Z1043" i="1"/>
  <c r="K546" i="2" s="1"/>
  <c r="Z1044" i="1"/>
  <c r="K547" i="2" s="1"/>
  <c r="Z1045" i="1"/>
  <c r="K548" i="2" s="1"/>
  <c r="Z1046" i="1"/>
  <c r="K549" i="2" s="1"/>
  <c r="Z1047" i="1"/>
  <c r="K550" i="2" s="1"/>
  <c r="Z1048" i="1"/>
  <c r="K551" i="2" s="1"/>
  <c r="Z1049" i="1"/>
  <c r="K552" i="2" s="1"/>
  <c r="Z1050" i="1"/>
  <c r="K553" i="2" s="1"/>
  <c r="Z1051" i="1"/>
  <c r="Z1052" i="1"/>
  <c r="K555" i="2" s="1"/>
  <c r="Z1053" i="1"/>
  <c r="K556" i="2" s="1"/>
  <c r="Z1054" i="1"/>
  <c r="K554" i="2"/>
  <c r="Z1038" i="1"/>
  <c r="M565" i="1"/>
  <c r="M541" i="1"/>
  <c r="M517" i="1"/>
  <c r="M493" i="1"/>
  <c r="P1037" i="1"/>
  <c r="P1036" i="1"/>
  <c r="P1035" i="1"/>
  <c r="P1039" i="1"/>
  <c r="P1045" i="1"/>
  <c r="P1054" i="1"/>
  <c r="P1053" i="1"/>
  <c r="P1052" i="1"/>
  <c r="P1051" i="1"/>
  <c r="P1050" i="1"/>
  <c r="P1049" i="1"/>
  <c r="P1047" i="1"/>
  <c r="P1046" i="1"/>
  <c r="P1044" i="1"/>
  <c r="P1043" i="1"/>
  <c r="P1041" i="1"/>
  <c r="P1040" i="1"/>
  <c r="E1049" i="1"/>
  <c r="R1049" i="1" s="1"/>
  <c r="D1049" i="1"/>
  <c r="F1054" i="1"/>
  <c r="L1054" i="1" s="1"/>
  <c r="E1054" i="1"/>
  <c r="R1054" i="1" s="1"/>
  <c r="D1054" i="1"/>
  <c r="F1053" i="1"/>
  <c r="L1053" i="1" s="1"/>
  <c r="E1053" i="1"/>
  <c r="R1053" i="1" s="1"/>
  <c r="D1053" i="1"/>
  <c r="F1052" i="1"/>
  <c r="J1052" i="1" s="1"/>
  <c r="E1052" i="1"/>
  <c r="R1052" i="1" s="1"/>
  <c r="D1052" i="1"/>
  <c r="F1051" i="1"/>
  <c r="J1051" i="1" s="1"/>
  <c r="E1051" i="1"/>
  <c r="R1051" i="1" s="1"/>
  <c r="D1051" i="1"/>
  <c r="F1050" i="1"/>
  <c r="L1050" i="1" s="1"/>
  <c r="E1050" i="1"/>
  <c r="R1050" i="1" s="1"/>
  <c r="D1050" i="1"/>
  <c r="F1049" i="1"/>
  <c r="J1049" i="1" s="1"/>
  <c r="F1048" i="1"/>
  <c r="J1048" i="1" s="1"/>
  <c r="E1048" i="1"/>
  <c r="R1048" i="1" s="1"/>
  <c r="D1048" i="1"/>
  <c r="F1047" i="1"/>
  <c r="J1047" i="1" s="1"/>
  <c r="E1047" i="1"/>
  <c r="R1047" i="1" s="1"/>
  <c r="D1047" i="1"/>
  <c r="F1046" i="1"/>
  <c r="L1046" i="1" s="1"/>
  <c r="E1046" i="1"/>
  <c r="R1046" i="1" s="1"/>
  <c r="D1046" i="1"/>
  <c r="F1045" i="1"/>
  <c r="J1045" i="1" s="1"/>
  <c r="E1045" i="1"/>
  <c r="R1045" i="1" s="1"/>
  <c r="D1045" i="1"/>
  <c r="F1044" i="1"/>
  <c r="J1044" i="1" s="1"/>
  <c r="E1044" i="1"/>
  <c r="R1044" i="1" s="1"/>
  <c r="D1044" i="1"/>
  <c r="F1043" i="1"/>
  <c r="J1043" i="1" s="1"/>
  <c r="E1043" i="1"/>
  <c r="R1043" i="1" s="1"/>
  <c r="D1043" i="1"/>
  <c r="F1042" i="1"/>
  <c r="E1042" i="1"/>
  <c r="R1042" i="1" s="1"/>
  <c r="D1042" i="1"/>
  <c r="F1041" i="1"/>
  <c r="L1041" i="1" s="1"/>
  <c r="N1041" i="1" s="1"/>
  <c r="E1041" i="1"/>
  <c r="R1041" i="1" s="1"/>
  <c r="D1041" i="1"/>
  <c r="F1040" i="1"/>
  <c r="J1040" i="1" s="1"/>
  <c r="E1040" i="1"/>
  <c r="R1040" i="1" s="1"/>
  <c r="D1040" i="1"/>
  <c r="F1039" i="1"/>
  <c r="L1039" i="1" s="1"/>
  <c r="N1039" i="1" s="1"/>
  <c r="E1039" i="1"/>
  <c r="R1039" i="1" s="1"/>
  <c r="D1039" i="1"/>
  <c r="E1038" i="1"/>
  <c r="R1038" i="1" s="1"/>
  <c r="D1038" i="1"/>
  <c r="G1033" i="1"/>
  <c r="F1038" i="1"/>
  <c r="F1037" i="1"/>
  <c r="E1037" i="1"/>
  <c r="R1037" i="1" s="1"/>
  <c r="D1037" i="1"/>
  <c r="F1036" i="1"/>
  <c r="L1036" i="1" s="1"/>
  <c r="E1036" i="1"/>
  <c r="R1036" i="1" s="1"/>
  <c r="D1036" i="1"/>
  <c r="D1035" i="1"/>
  <c r="E1035" i="1"/>
  <c r="R1035" i="1" s="1"/>
  <c r="F1035" i="1"/>
  <c r="L1035" i="1" s="1"/>
  <c r="M595" i="1"/>
  <c r="M589" i="1"/>
  <c r="M571" i="1"/>
  <c r="M547" i="1"/>
  <c r="M523" i="1"/>
  <c r="M499" i="1"/>
  <c r="M475" i="1"/>
  <c r="M469" i="1"/>
  <c r="M451" i="1"/>
  <c r="M445" i="1"/>
  <c r="M427" i="1"/>
  <c r="M421" i="1"/>
  <c r="M403" i="1"/>
  <c r="M397" i="1"/>
  <c r="M379" i="1"/>
  <c r="M373" i="1"/>
  <c r="M355" i="1"/>
  <c r="M349" i="1"/>
  <c r="M325" i="1"/>
  <c r="M307" i="1"/>
  <c r="M301" i="1"/>
  <c r="M283" i="1"/>
  <c r="M277" i="1"/>
  <c r="M253" i="1"/>
  <c r="M235" i="1"/>
  <c r="J617" i="1"/>
  <c r="C617" i="1"/>
  <c r="C615" i="1"/>
  <c r="C614" i="1"/>
  <c r="B613" i="1"/>
  <c r="J611" i="1"/>
  <c r="C611" i="1"/>
  <c r="C610" i="1"/>
  <c r="C609" i="1"/>
  <c r="B608" i="1"/>
  <c r="C606" i="1"/>
  <c r="B603" i="1"/>
  <c r="J593" i="1"/>
  <c r="C593" i="1"/>
  <c r="C591" i="1"/>
  <c r="C590" i="1"/>
  <c r="B589" i="1"/>
  <c r="J587" i="1"/>
  <c r="C587" i="1"/>
  <c r="C586" i="1"/>
  <c r="C585" i="1"/>
  <c r="B584" i="1"/>
  <c r="C582" i="1"/>
  <c r="B579" i="1"/>
  <c r="J569" i="1"/>
  <c r="C569" i="1"/>
  <c r="C567" i="1"/>
  <c r="C566" i="1"/>
  <c r="B565" i="1"/>
  <c r="J563" i="1"/>
  <c r="C563" i="1"/>
  <c r="C562" i="1"/>
  <c r="C561" i="1"/>
  <c r="B560" i="1"/>
  <c r="C558" i="1"/>
  <c r="B555" i="1"/>
  <c r="J545" i="1"/>
  <c r="C545" i="1"/>
  <c r="C543" i="1"/>
  <c r="C542" i="1"/>
  <c r="B541" i="1"/>
  <c r="J539" i="1"/>
  <c r="C539" i="1"/>
  <c r="C538" i="1"/>
  <c r="C537" i="1"/>
  <c r="B536" i="1"/>
  <c r="C534" i="1"/>
  <c r="B531" i="1"/>
  <c r="J521" i="1"/>
  <c r="C521" i="1"/>
  <c r="C519" i="1"/>
  <c r="C518" i="1"/>
  <c r="B517" i="1"/>
  <c r="J515" i="1"/>
  <c r="C515" i="1"/>
  <c r="C514" i="1"/>
  <c r="C513" i="1"/>
  <c r="B512" i="1"/>
  <c r="C510" i="1"/>
  <c r="B507" i="1"/>
  <c r="J497" i="1"/>
  <c r="C497" i="1"/>
  <c r="C495" i="1"/>
  <c r="C494" i="1"/>
  <c r="B493" i="1"/>
  <c r="J491" i="1"/>
  <c r="C491" i="1"/>
  <c r="C490" i="1"/>
  <c r="C489" i="1"/>
  <c r="B488" i="1"/>
  <c r="C486" i="1"/>
  <c r="B483" i="1"/>
  <c r="J473" i="1"/>
  <c r="C473" i="1"/>
  <c r="C471" i="1"/>
  <c r="C470" i="1"/>
  <c r="B469" i="1"/>
  <c r="J467" i="1"/>
  <c r="C467" i="1"/>
  <c r="C466" i="1"/>
  <c r="C465" i="1"/>
  <c r="B464" i="1"/>
  <c r="C462" i="1"/>
  <c r="B459" i="1"/>
  <c r="J449" i="1"/>
  <c r="C449" i="1"/>
  <c r="C447" i="1"/>
  <c r="C446" i="1"/>
  <c r="B445" i="1"/>
  <c r="J443" i="1"/>
  <c r="C443" i="1"/>
  <c r="C442" i="1"/>
  <c r="C441" i="1"/>
  <c r="B440" i="1"/>
  <c r="C438" i="1"/>
  <c r="B435" i="1"/>
  <c r="J425" i="1"/>
  <c r="C425" i="1"/>
  <c r="C423" i="1"/>
  <c r="C422" i="1"/>
  <c r="B421" i="1"/>
  <c r="J419" i="1"/>
  <c r="C419" i="1"/>
  <c r="C418" i="1"/>
  <c r="C417" i="1"/>
  <c r="B416" i="1"/>
  <c r="C414" i="1"/>
  <c r="B411" i="1"/>
  <c r="J401" i="1"/>
  <c r="C401" i="1"/>
  <c r="C399" i="1"/>
  <c r="C398" i="1"/>
  <c r="B397" i="1"/>
  <c r="J395" i="1"/>
  <c r="C395" i="1"/>
  <c r="C394" i="1"/>
  <c r="C393" i="1"/>
  <c r="B392" i="1"/>
  <c r="C390" i="1"/>
  <c r="B387" i="1"/>
  <c r="J377" i="1"/>
  <c r="C377" i="1"/>
  <c r="C375" i="1"/>
  <c r="C374" i="1"/>
  <c r="B373" i="1"/>
  <c r="J371" i="1"/>
  <c r="C371" i="1"/>
  <c r="C370" i="1"/>
  <c r="C369" i="1"/>
  <c r="B368" i="1"/>
  <c r="C366" i="1"/>
  <c r="B363" i="1"/>
  <c r="J353" i="1"/>
  <c r="C353" i="1"/>
  <c r="C351" i="1"/>
  <c r="C350" i="1"/>
  <c r="B349" i="1"/>
  <c r="J347" i="1"/>
  <c r="C347" i="1"/>
  <c r="C346" i="1"/>
  <c r="C345" i="1"/>
  <c r="B344" i="1"/>
  <c r="C342" i="1"/>
  <c r="B339" i="1"/>
  <c r="J329" i="1"/>
  <c r="C329" i="1"/>
  <c r="C327" i="1"/>
  <c r="C326" i="1"/>
  <c r="B325" i="1"/>
  <c r="J323" i="1"/>
  <c r="C323" i="1"/>
  <c r="C322" i="1"/>
  <c r="C321" i="1"/>
  <c r="B320" i="1"/>
  <c r="C318" i="1"/>
  <c r="B315" i="1"/>
  <c r="J305" i="1"/>
  <c r="C305" i="1"/>
  <c r="C303" i="1"/>
  <c r="C302" i="1"/>
  <c r="B301" i="1"/>
  <c r="J299" i="1"/>
  <c r="C299" i="1"/>
  <c r="C298" i="1"/>
  <c r="C297" i="1"/>
  <c r="B296" i="1"/>
  <c r="C294" i="1"/>
  <c r="B291" i="1"/>
  <c r="J281" i="1"/>
  <c r="C281" i="1"/>
  <c r="C279" i="1"/>
  <c r="C278" i="1"/>
  <c r="B277" i="1"/>
  <c r="J275" i="1"/>
  <c r="C275" i="1"/>
  <c r="C274" i="1"/>
  <c r="C273" i="1"/>
  <c r="B272" i="1"/>
  <c r="C270" i="1"/>
  <c r="B267" i="1"/>
  <c r="J257" i="1"/>
  <c r="C257" i="1"/>
  <c r="C255" i="1"/>
  <c r="C254" i="1"/>
  <c r="B253" i="1"/>
  <c r="J251" i="1"/>
  <c r="C251" i="1"/>
  <c r="C250" i="1"/>
  <c r="C249" i="1"/>
  <c r="B248" i="1"/>
  <c r="C246" i="1"/>
  <c r="B243" i="1"/>
  <c r="C600" i="1"/>
  <c r="C576" i="1"/>
  <c r="C552" i="1"/>
  <c r="C528" i="1"/>
  <c r="C504" i="1"/>
  <c r="C480" i="1"/>
  <c r="C456" i="1"/>
  <c r="C432" i="1"/>
  <c r="C408" i="1"/>
  <c r="C384" i="1"/>
  <c r="C360" i="1"/>
  <c r="C240" i="1"/>
  <c r="C264" i="1"/>
  <c r="C288" i="1"/>
  <c r="C312" i="1"/>
  <c r="C336" i="1"/>
  <c r="B224" i="1"/>
  <c r="B229" i="1"/>
  <c r="AD1037" i="1"/>
  <c r="Z1037" i="1"/>
  <c r="AE1036" i="1"/>
  <c r="AF1036" i="1" s="1"/>
  <c r="AD1036" i="1"/>
  <c r="Z1036" i="1"/>
  <c r="AE1035" i="1"/>
  <c r="AD1035" i="1"/>
  <c r="J233" i="1"/>
  <c r="C233" i="1"/>
  <c r="C231" i="1"/>
  <c r="C230" i="1"/>
  <c r="J227" i="1"/>
  <c r="C227" i="1"/>
  <c r="C226" i="1"/>
  <c r="C225" i="1"/>
  <c r="C222" i="1"/>
  <c r="B219" i="1"/>
  <c r="C216" i="1"/>
  <c r="C144" i="1"/>
  <c r="C168" i="1"/>
  <c r="B181" i="1" s="1"/>
  <c r="C192" i="1"/>
  <c r="C1036" i="1"/>
  <c r="CW1036" i="1" s="1"/>
  <c r="C1037" i="1"/>
  <c r="CW1037" i="1" s="1"/>
  <c r="C1038" i="1"/>
  <c r="C1039" i="1"/>
  <c r="CW1039" i="1" s="1"/>
  <c r="C1040" i="1"/>
  <c r="C1041" i="1"/>
  <c r="C1042" i="1"/>
  <c r="C1043" i="1"/>
  <c r="C1044" i="1"/>
  <c r="C1045" i="1"/>
  <c r="C1046" i="1"/>
  <c r="C1047" i="1"/>
  <c r="C1048" i="1"/>
  <c r="C1049" i="1"/>
  <c r="C1050" i="1"/>
  <c r="CT1050" i="1" s="1" a="1"/>
  <c r="CT1050" i="1" s="1"/>
  <c r="C1051" i="1"/>
  <c r="C1052" i="1"/>
  <c r="C1053" i="1"/>
  <c r="C1054" i="1"/>
  <c r="C1035" i="1"/>
  <c r="CW1035" i="1" s="1"/>
  <c r="CT1042" i="1" l="1" a="1"/>
  <c r="CT1042" i="1" s="1"/>
  <c r="CW1042" i="1"/>
  <c r="CW1038" i="1"/>
  <c r="CR1032" i="1" s="1"/>
  <c r="CT1040" i="1" a="1"/>
  <c r="CT1040" i="1" s="1"/>
  <c r="CW1040" i="1"/>
  <c r="CT1041" i="1" a="1"/>
  <c r="CT1041" i="1" s="1"/>
  <c r="CW1041" i="1"/>
  <c r="BJ1035" i="1"/>
  <c r="DB1035" i="1"/>
  <c r="DA1035" i="1"/>
  <c r="CV1035" i="1"/>
  <c r="CY1035" i="1"/>
  <c r="CX1035" i="1"/>
  <c r="CR1035" i="1"/>
  <c r="CU1035" i="1"/>
  <c r="CT1035" i="1" a="1"/>
  <c r="CT1035" i="1" s="1"/>
  <c r="CZ1035" i="1"/>
  <c r="CS1035" i="1"/>
  <c r="BJ1043" i="1"/>
  <c r="CU1043" i="1"/>
  <c r="CY1043" i="1"/>
  <c r="CV1043" i="1"/>
  <c r="DA1043" i="1"/>
  <c r="CX1043" i="1"/>
  <c r="CR1043" i="1"/>
  <c r="B643" i="1" s="1"/>
  <c r="DB1043" i="1"/>
  <c r="CP1043" i="1" s="1"/>
  <c r="CZ1043" i="1"/>
  <c r="CS1043" i="1"/>
  <c r="BJ1050" i="1"/>
  <c r="CU1050" i="1"/>
  <c r="CY1050" i="1"/>
  <c r="CV1050" i="1"/>
  <c r="DA1050" i="1"/>
  <c r="CX1050" i="1"/>
  <c r="DB1050" i="1"/>
  <c r="CP1050" i="1" s="1"/>
  <c r="CR1050" i="1"/>
  <c r="B660" i="1" s="1"/>
  <c r="CZ1050" i="1"/>
  <c r="CS1050" i="1"/>
  <c r="BJ1046" i="1"/>
  <c r="CU1046" i="1"/>
  <c r="CY1046" i="1"/>
  <c r="CV1046" i="1"/>
  <c r="DA1046" i="1"/>
  <c r="CX1046" i="1"/>
  <c r="DB1046" i="1"/>
  <c r="CP1046" i="1" s="1"/>
  <c r="CR1046" i="1"/>
  <c r="CZ1046" i="1"/>
  <c r="CS1046" i="1"/>
  <c r="BJ1042" i="1"/>
  <c r="CU1042" i="1"/>
  <c r="CY1042" i="1"/>
  <c r="CV1042" i="1"/>
  <c r="DA1042" i="1"/>
  <c r="CX1042" i="1"/>
  <c r="DB1042" i="1"/>
  <c r="CR1042" i="1"/>
  <c r="CZ1042" i="1"/>
  <c r="CS1042" i="1"/>
  <c r="BJ1038" i="1"/>
  <c r="CU1038" i="1"/>
  <c r="CY1038" i="1"/>
  <c r="CV1038" i="1"/>
  <c r="DA1038" i="1"/>
  <c r="CX1038" i="1"/>
  <c r="DB1038" i="1"/>
  <c r="CR1038" i="1"/>
  <c r="CZ1038" i="1"/>
  <c r="CS1038" i="1"/>
  <c r="CT1038" i="1" a="1"/>
  <c r="CT1038" i="1" s="1"/>
  <c r="BJ1047" i="1"/>
  <c r="CU1047" i="1"/>
  <c r="CY1047" i="1"/>
  <c r="CV1047" i="1"/>
  <c r="DA1047" i="1"/>
  <c r="CX1047" i="1"/>
  <c r="CR1047" i="1"/>
  <c r="B654" i="1" s="1"/>
  <c r="DB1047" i="1"/>
  <c r="CP1047" i="1" s="1"/>
  <c r="CZ1047" i="1"/>
  <c r="CS1047" i="1"/>
  <c r="BJ1041" i="1"/>
  <c r="CU1041" i="1"/>
  <c r="CY1041" i="1"/>
  <c r="CV1041" i="1"/>
  <c r="DA1041" i="1"/>
  <c r="CX1041" i="1"/>
  <c r="CR1041" i="1"/>
  <c r="DB1041" i="1"/>
  <c r="CZ1041" i="1"/>
  <c r="CS1041" i="1"/>
  <c r="BJ1037" i="1"/>
  <c r="CU1037" i="1"/>
  <c r="CY1037" i="1"/>
  <c r="CV1037" i="1"/>
  <c r="DA1037" i="1"/>
  <c r="CX1037" i="1"/>
  <c r="CR1037" i="1"/>
  <c r="DB1037" i="1"/>
  <c r="CZ1037" i="1"/>
  <c r="CS1037" i="1"/>
  <c r="CT1037" i="1" a="1"/>
  <c r="CT1037" i="1" s="1"/>
  <c r="CP1037" i="1" s="1"/>
  <c r="BJ1051" i="1"/>
  <c r="CU1051" i="1"/>
  <c r="CY1051" i="1"/>
  <c r="CV1051" i="1"/>
  <c r="DA1051" i="1"/>
  <c r="CX1051" i="1"/>
  <c r="CR1051" i="1"/>
  <c r="B662" i="1" s="1"/>
  <c r="DB1051" i="1"/>
  <c r="CP1051" i="1" s="1"/>
  <c r="CZ1051" i="1"/>
  <c r="CS1051" i="1"/>
  <c r="BJ1039" i="1"/>
  <c r="CU1039" i="1"/>
  <c r="CY1039" i="1"/>
  <c r="CV1039" i="1"/>
  <c r="DA1039" i="1"/>
  <c r="CX1039" i="1"/>
  <c r="CR1039" i="1"/>
  <c r="DB1039" i="1"/>
  <c r="CZ1039" i="1"/>
  <c r="CS1039" i="1"/>
  <c r="CP1039" i="1" s="1"/>
  <c r="BJ1054" i="1"/>
  <c r="CU1054" i="1"/>
  <c r="CY1054" i="1"/>
  <c r="CV1054" i="1"/>
  <c r="DA1054" i="1"/>
  <c r="CX1054" i="1"/>
  <c r="DB1054" i="1"/>
  <c r="CP1054" i="1" s="1"/>
  <c r="CR1054" i="1"/>
  <c r="B668" i="1" s="1"/>
  <c r="CZ1054" i="1"/>
  <c r="CS1054" i="1"/>
  <c r="BJ1053" i="1"/>
  <c r="CU1053" i="1"/>
  <c r="CY1053" i="1"/>
  <c r="CV1053" i="1"/>
  <c r="DA1053" i="1"/>
  <c r="CX1053" i="1"/>
  <c r="CR1053" i="1"/>
  <c r="B666" i="1" s="1"/>
  <c r="DB1053" i="1"/>
  <c r="CP1053" i="1" s="1"/>
  <c r="CZ1053" i="1"/>
  <c r="CS1053" i="1"/>
  <c r="BJ1049" i="1"/>
  <c r="CU1049" i="1"/>
  <c r="CY1049" i="1"/>
  <c r="CV1049" i="1"/>
  <c r="DA1049" i="1"/>
  <c r="CX1049" i="1"/>
  <c r="CR1049" i="1"/>
  <c r="B658" i="1" s="1"/>
  <c r="DB1049" i="1"/>
  <c r="CP1049" i="1" s="1"/>
  <c r="CZ1049" i="1"/>
  <c r="CS1049" i="1"/>
  <c r="BJ1045" i="1"/>
  <c r="CU1045" i="1"/>
  <c r="CY1045" i="1"/>
  <c r="CV1045" i="1"/>
  <c r="DA1045" i="1"/>
  <c r="CX1045" i="1"/>
  <c r="CR1045" i="1"/>
  <c r="B650" i="1" s="1"/>
  <c r="DB1045" i="1"/>
  <c r="CP1045" i="1" s="1"/>
  <c r="CZ1045" i="1"/>
  <c r="CS1045" i="1"/>
  <c r="BJ1052" i="1"/>
  <c r="CU1052" i="1"/>
  <c r="CY1052" i="1"/>
  <c r="CV1052" i="1"/>
  <c r="DA1052" i="1"/>
  <c r="CX1052" i="1"/>
  <c r="DB1052" i="1"/>
  <c r="CP1052" i="1" s="1"/>
  <c r="CR1052" i="1"/>
  <c r="CZ1052" i="1"/>
  <c r="CS1052" i="1"/>
  <c r="BJ1048" i="1"/>
  <c r="CU1048" i="1"/>
  <c r="CY1048" i="1"/>
  <c r="CV1048" i="1"/>
  <c r="DA1048" i="1"/>
  <c r="CX1048" i="1"/>
  <c r="DB1048" i="1"/>
  <c r="CP1048" i="1" s="1"/>
  <c r="CR1048" i="1"/>
  <c r="CZ1048" i="1"/>
  <c r="CS1048" i="1"/>
  <c r="BJ1044" i="1"/>
  <c r="CU1044" i="1"/>
  <c r="CY1044" i="1"/>
  <c r="CV1044" i="1"/>
  <c r="DA1044" i="1"/>
  <c r="CX1044" i="1"/>
  <c r="DB1044" i="1"/>
  <c r="CP1044" i="1" s="1"/>
  <c r="CR1044" i="1"/>
  <c r="CZ1044" i="1"/>
  <c r="CS1044" i="1"/>
  <c r="BJ1040" i="1"/>
  <c r="CU1040" i="1"/>
  <c r="CY1040" i="1"/>
  <c r="CV1040" i="1"/>
  <c r="DA1040" i="1"/>
  <c r="CX1040" i="1"/>
  <c r="DB1040" i="1"/>
  <c r="CR1040" i="1"/>
  <c r="CZ1040" i="1"/>
  <c r="CS1040" i="1"/>
  <c r="CP1040" i="1" s="1"/>
  <c r="BJ1036" i="1"/>
  <c r="CX1036" i="1"/>
  <c r="CU1036" i="1"/>
  <c r="CY1036" i="1"/>
  <c r="CR1036" i="1"/>
  <c r="CV1036" i="1"/>
  <c r="DA1036" i="1"/>
  <c r="DB1036" i="1"/>
  <c r="CZ1036" i="1"/>
  <c r="CS1036" i="1"/>
  <c r="CT1036" i="1" a="1"/>
  <c r="CT1036" i="1" s="1"/>
  <c r="CP1032" i="1" s="1"/>
  <c r="K1051" i="1"/>
  <c r="AJ1051" i="1"/>
  <c r="M135" i="1" s="1"/>
  <c r="G624" i="6" s="1"/>
  <c r="K1040" i="1"/>
  <c r="AJ1040" i="1"/>
  <c r="M124" i="1" s="1"/>
  <c r="G613" i="6" s="1"/>
  <c r="K1044" i="1"/>
  <c r="AJ1044" i="1"/>
  <c r="M128" i="1" s="1"/>
  <c r="G617" i="6" s="1"/>
  <c r="K1048" i="1"/>
  <c r="AJ1048" i="1"/>
  <c r="M132" i="1" s="1"/>
  <c r="G621" i="6" s="1"/>
  <c r="K1052" i="1"/>
  <c r="AJ1052" i="1"/>
  <c r="M136" i="1" s="1"/>
  <c r="G625" i="6" s="1"/>
  <c r="K1045" i="1"/>
  <c r="AJ1045" i="1"/>
  <c r="M129" i="1" s="1"/>
  <c r="G618" i="6" s="1"/>
  <c r="K1043" i="1"/>
  <c r="AJ1043" i="1"/>
  <c r="M127" i="1" s="1"/>
  <c r="G616" i="6" s="1"/>
  <c r="K1047" i="1"/>
  <c r="AJ1047" i="1"/>
  <c r="M131" i="1" s="1"/>
  <c r="G620" i="6" s="1"/>
  <c r="K1049" i="1"/>
  <c r="AJ1049" i="1"/>
  <c r="M133" i="1" s="1"/>
  <c r="G622" i="6" s="1"/>
  <c r="AA1077" i="1"/>
  <c r="Y1077" i="1" s="1"/>
  <c r="AF1035" i="1"/>
  <c r="AA1054" i="1"/>
  <c r="C1095" i="1"/>
  <c r="C626" i="6" s="1"/>
  <c r="AA1095" i="1"/>
  <c r="Y1095" i="1" s="1"/>
  <c r="I1095" i="1"/>
  <c r="C1091" i="1"/>
  <c r="C622" i="6" s="1"/>
  <c r="I1091" i="1"/>
  <c r="AA1091" i="1"/>
  <c r="Y1091" i="1" s="1"/>
  <c r="I1087" i="1"/>
  <c r="C1087" i="1"/>
  <c r="C618" i="6" s="1"/>
  <c r="AA1087" i="1"/>
  <c r="Y1087" i="1" s="1"/>
  <c r="AA1083" i="1"/>
  <c r="Y1083" i="1" s="1"/>
  <c r="C1083" i="1"/>
  <c r="C614" i="6" s="1"/>
  <c r="I1083" i="1"/>
  <c r="I1079" i="1"/>
  <c r="AA1079" i="1"/>
  <c r="Y1079" i="1" s="1"/>
  <c r="C1079" i="1"/>
  <c r="C610" i="6" s="1"/>
  <c r="I1094" i="1"/>
  <c r="AA1094" i="1"/>
  <c r="Y1094" i="1" s="1"/>
  <c r="C1094" i="1"/>
  <c r="C625" i="6" s="1"/>
  <c r="I1090" i="1"/>
  <c r="AA1090" i="1"/>
  <c r="Y1090" i="1" s="1"/>
  <c r="C1090" i="1"/>
  <c r="C621" i="6" s="1"/>
  <c r="I1086" i="1"/>
  <c r="C1086" i="1"/>
  <c r="C617" i="6" s="1"/>
  <c r="AA1086" i="1"/>
  <c r="Y1086" i="1" s="1"/>
  <c r="AA1082" i="1"/>
  <c r="Y1082" i="1" s="1"/>
  <c r="I1082" i="1"/>
  <c r="C1082" i="1"/>
  <c r="C613" i="6" s="1"/>
  <c r="C1078" i="1"/>
  <c r="C609" i="6" s="1"/>
  <c r="I1078" i="1"/>
  <c r="AA1078" i="1"/>
  <c r="Y1078" i="1" s="1"/>
  <c r="I1093" i="1"/>
  <c r="C1093" i="1"/>
  <c r="C624" i="6" s="1"/>
  <c r="AA1093" i="1"/>
  <c r="Y1093" i="1" s="1"/>
  <c r="AA1089" i="1"/>
  <c r="Y1089" i="1" s="1"/>
  <c r="I1089" i="1"/>
  <c r="C1089" i="1"/>
  <c r="C620" i="6" s="1"/>
  <c r="C1085" i="1"/>
  <c r="C616" i="6" s="1"/>
  <c r="AA1085" i="1"/>
  <c r="Y1085" i="1" s="1"/>
  <c r="I1085" i="1"/>
  <c r="C1081" i="1"/>
  <c r="C612" i="6" s="1"/>
  <c r="I1081" i="1"/>
  <c r="AA1081" i="1"/>
  <c r="Y1081" i="1" s="1"/>
  <c r="C1096" i="1"/>
  <c r="C627" i="6" s="1"/>
  <c r="I1096" i="1"/>
  <c r="AA1096" i="1"/>
  <c r="Y1096" i="1" s="1"/>
  <c r="I1092" i="1"/>
  <c r="C1092" i="1"/>
  <c r="C623" i="6" s="1"/>
  <c r="AA1092" i="1"/>
  <c r="Y1092" i="1" s="1"/>
  <c r="I1088" i="1"/>
  <c r="AA1088" i="1"/>
  <c r="Y1088" i="1" s="1"/>
  <c r="C1088" i="1"/>
  <c r="C619" i="6" s="1"/>
  <c r="I1084" i="1"/>
  <c r="AA1084" i="1"/>
  <c r="Y1084" i="1" s="1"/>
  <c r="C1084" i="1"/>
  <c r="C615" i="6" s="1"/>
  <c r="I1080" i="1"/>
  <c r="AA1080" i="1"/>
  <c r="Y1080" i="1" s="1"/>
  <c r="C1080" i="1"/>
  <c r="C611" i="6" s="1"/>
  <c r="F212" i="1"/>
  <c r="BA1037" i="1" s="1"/>
  <c r="BB1037" i="1" s="1"/>
  <c r="T1079" i="1" s="1"/>
  <c r="AF505" i="2" s="1"/>
  <c r="C1077" i="1"/>
  <c r="C608" i="6" s="1"/>
  <c r="I1077" i="1"/>
  <c r="AA1037" i="1"/>
  <c r="K121" i="1" s="1"/>
  <c r="AH1047" i="1"/>
  <c r="AH1051" i="1"/>
  <c r="AH1044" i="1"/>
  <c r="AH1048" i="1"/>
  <c r="AH1042" i="1"/>
  <c r="L126" i="1" s="1"/>
  <c r="AH1038" i="1"/>
  <c r="J1039" i="1"/>
  <c r="C1066" i="1"/>
  <c r="D1067" i="1" s="1"/>
  <c r="D1066" i="1"/>
  <c r="G1049" i="1"/>
  <c r="M1049" i="1" s="1"/>
  <c r="L1038" i="1"/>
  <c r="P1038" i="1" s="1"/>
  <c r="AH1043" i="1"/>
  <c r="D1065" i="1"/>
  <c r="L1049" i="1"/>
  <c r="G1041" i="1"/>
  <c r="M1041" i="1" s="1"/>
  <c r="J1050" i="1"/>
  <c r="L1044" i="1"/>
  <c r="L1043" i="1"/>
  <c r="AH1045" i="1"/>
  <c r="AH1049" i="1"/>
  <c r="G1040" i="1"/>
  <c r="M1040" i="1" s="1"/>
  <c r="J1041" i="1"/>
  <c r="K1041" i="1" s="1"/>
  <c r="L1037" i="1"/>
  <c r="L1047" i="1"/>
  <c r="L1040" i="1"/>
  <c r="N1040" i="1" s="1"/>
  <c r="L1048" i="1"/>
  <c r="P1048" i="1" s="1"/>
  <c r="G1050" i="1"/>
  <c r="M1050" i="1" s="1"/>
  <c r="G1039" i="1"/>
  <c r="M1039" i="1" s="1"/>
  <c r="L1045" i="1"/>
  <c r="AH1040" i="1"/>
  <c r="AH1046" i="1"/>
  <c r="AH1050" i="1"/>
  <c r="AH1052" i="1"/>
  <c r="AH1041" i="1"/>
  <c r="AH1053" i="1"/>
  <c r="G1046" i="1"/>
  <c r="M1046" i="1" s="1"/>
  <c r="J1046" i="1"/>
  <c r="G1053" i="1"/>
  <c r="M1053" i="1" s="1"/>
  <c r="J1053" i="1"/>
  <c r="L1052" i="1"/>
  <c r="G1052" i="1"/>
  <c r="M1052" i="1" s="1"/>
  <c r="G1048" i="1"/>
  <c r="M1048" i="1" s="1"/>
  <c r="G1044" i="1"/>
  <c r="M1044" i="1" s="1"/>
  <c r="L1051" i="1"/>
  <c r="G1045" i="1"/>
  <c r="M1045" i="1" s="1"/>
  <c r="G1051" i="1"/>
  <c r="M1051" i="1" s="1"/>
  <c r="G1047" i="1"/>
  <c r="M1047" i="1" s="1"/>
  <c r="G1043" i="1"/>
  <c r="M1043" i="1" s="1"/>
  <c r="AH1039" i="1"/>
  <c r="L123" i="1" s="1"/>
  <c r="L1042" i="1"/>
  <c r="N1042" i="1" s="1"/>
  <c r="AH1037" i="1"/>
  <c r="CP1042" i="1" l="1"/>
  <c r="CP1041" i="1"/>
  <c r="CP1038" i="1"/>
  <c r="B631" i="1"/>
  <c r="CP1036" i="1"/>
  <c r="CP1031" i="1"/>
  <c r="CP1035" i="1"/>
  <c r="B627" i="1" s="1"/>
  <c r="B639" i="1"/>
  <c r="B635" i="1"/>
  <c r="B645" i="1"/>
  <c r="I131" i="1"/>
  <c r="I550" i="2" s="1"/>
  <c r="I129" i="1"/>
  <c r="I548" i="2" s="1"/>
  <c r="I132" i="1"/>
  <c r="I551" i="2" s="1"/>
  <c r="I133" i="1"/>
  <c r="I552" i="2" s="1"/>
  <c r="I127" i="1"/>
  <c r="I546" i="2" s="1"/>
  <c r="I136" i="1"/>
  <c r="I555" i="2" s="1"/>
  <c r="I128" i="1"/>
  <c r="I547" i="2" s="1"/>
  <c r="I135" i="1"/>
  <c r="I554" i="2" s="1"/>
  <c r="I125" i="1"/>
  <c r="I544" i="2" s="1"/>
  <c r="I124" i="1"/>
  <c r="I543" i="2" s="1"/>
  <c r="B656" i="1"/>
  <c r="B652" i="1"/>
  <c r="B641" i="1"/>
  <c r="B664" i="1"/>
  <c r="B637" i="1"/>
  <c r="B633" i="1"/>
  <c r="E628" i="6"/>
  <c r="B629" i="1"/>
  <c r="L137" i="1"/>
  <c r="L556" i="2" s="1"/>
  <c r="S556" i="2" s="1"/>
  <c r="L136" i="1"/>
  <c r="L555" i="2" s="1"/>
  <c r="S555" i="2" s="1"/>
  <c r="L135" i="1"/>
  <c r="L554" i="2" s="1"/>
  <c r="S554" i="2" s="1"/>
  <c r="L134" i="1"/>
  <c r="L553" i="2" s="1"/>
  <c r="S553" i="2" s="1"/>
  <c r="L133" i="1"/>
  <c r="L552" i="2" s="1"/>
  <c r="S552" i="2" s="1"/>
  <c r="L132" i="1"/>
  <c r="L551" i="2" s="1"/>
  <c r="S551" i="2" s="1"/>
  <c r="L131" i="1"/>
  <c r="L550" i="2" s="1"/>
  <c r="S550" i="2" s="1"/>
  <c r="L130" i="1"/>
  <c r="L549" i="2" s="1"/>
  <c r="S549" i="2" s="1"/>
  <c r="L129" i="1"/>
  <c r="L548" i="2" s="1"/>
  <c r="L128" i="1"/>
  <c r="L547" i="2" s="1"/>
  <c r="L127" i="1"/>
  <c r="L546" i="2" s="1"/>
  <c r="L125" i="1"/>
  <c r="L544" i="2" s="1"/>
  <c r="L124" i="1"/>
  <c r="L543" i="2" s="1"/>
  <c r="L122" i="1"/>
  <c r="L541" i="2" s="1"/>
  <c r="S541" i="2" s="1"/>
  <c r="L121" i="1"/>
  <c r="L540" i="2" s="1"/>
  <c r="S540" i="2" s="1"/>
  <c r="AJ1041" i="1"/>
  <c r="E503" i="2"/>
  <c r="C503" i="2" s="1"/>
  <c r="C618" i="3"/>
  <c r="C630" i="5"/>
  <c r="E518" i="2"/>
  <c r="C518" i="2" s="1"/>
  <c r="U518" i="2" s="1"/>
  <c r="C618" i="4"/>
  <c r="C612" i="3"/>
  <c r="C612" i="4"/>
  <c r="E512" i="2"/>
  <c r="C512" i="2" s="1"/>
  <c r="U512" i="2" s="1"/>
  <c r="C624" i="5"/>
  <c r="E505" i="2"/>
  <c r="C505" i="2" s="1"/>
  <c r="U505" i="2" s="1"/>
  <c r="C605" i="4"/>
  <c r="C617" i="5"/>
  <c r="K1053" i="1"/>
  <c r="AJ1053" i="1"/>
  <c r="M137" i="1" s="1"/>
  <c r="G626" i="6" s="1"/>
  <c r="M331" i="1"/>
  <c r="L545" i="2"/>
  <c r="S545" i="2" s="1"/>
  <c r="C610" i="3"/>
  <c r="C622" i="5"/>
  <c r="E510" i="2"/>
  <c r="C510" i="2" s="1"/>
  <c r="U510" i="2" s="1"/>
  <c r="C610" i="4"/>
  <c r="C620" i="3"/>
  <c r="C620" i="4"/>
  <c r="E520" i="2"/>
  <c r="C520" i="2" s="1"/>
  <c r="U520" i="2" s="1"/>
  <c r="C632" i="5"/>
  <c r="K1050" i="1"/>
  <c r="AJ1050" i="1"/>
  <c r="M134" i="1" s="1"/>
  <c r="G623" i="6" s="1"/>
  <c r="C606" i="4"/>
  <c r="C618" i="5"/>
  <c r="E506" i="2"/>
  <c r="C506" i="2" s="1"/>
  <c r="U506" i="2" s="1"/>
  <c r="C611" i="3"/>
  <c r="C611" i="4"/>
  <c r="C623" i="5"/>
  <c r="E511" i="2"/>
  <c r="C511" i="2" s="1"/>
  <c r="U511" i="2" s="1"/>
  <c r="C616" i="3"/>
  <c r="E516" i="2"/>
  <c r="C516" i="2" s="1"/>
  <c r="U516" i="2" s="1"/>
  <c r="C628" i="5"/>
  <c r="C616" i="4"/>
  <c r="C621" i="3"/>
  <c r="C633" i="5"/>
  <c r="C621" i="4"/>
  <c r="E521" i="2"/>
  <c r="C521" i="2" s="1"/>
  <c r="U521" i="2" s="1"/>
  <c r="C614" i="3"/>
  <c r="E514" i="2"/>
  <c r="C514" i="2" s="1"/>
  <c r="U514" i="2" s="1"/>
  <c r="C614" i="4"/>
  <c r="C626" i="5"/>
  <c r="C622" i="3"/>
  <c r="E522" i="2"/>
  <c r="C522" i="2" s="1"/>
  <c r="U522" i="2" s="1"/>
  <c r="C622" i="4"/>
  <c r="C634" i="5"/>
  <c r="C608" i="3"/>
  <c r="C620" i="5"/>
  <c r="E508" i="2"/>
  <c r="C508" i="2" s="1"/>
  <c r="U508" i="2" s="1"/>
  <c r="C608" i="4"/>
  <c r="M229" i="1"/>
  <c r="K541" i="2"/>
  <c r="M259" i="1"/>
  <c r="L542" i="2"/>
  <c r="S542" i="2" s="1"/>
  <c r="K1046" i="1"/>
  <c r="AJ1046" i="1"/>
  <c r="M130" i="1" s="1"/>
  <c r="G619" i="6" s="1"/>
  <c r="K1039" i="1"/>
  <c r="AJ1039" i="1"/>
  <c r="M123" i="1" s="1"/>
  <c r="G612" i="6" s="1"/>
  <c r="E507" i="2"/>
  <c r="C507" i="2" s="1"/>
  <c r="U507" i="2" s="1"/>
  <c r="C607" i="4"/>
  <c r="C619" i="5"/>
  <c r="C615" i="3"/>
  <c r="C615" i="4"/>
  <c r="C627" i="5"/>
  <c r="E515" i="2"/>
  <c r="C515" i="2" s="1"/>
  <c r="U515" i="2" s="1"/>
  <c r="C619" i="3"/>
  <c r="C619" i="4"/>
  <c r="C631" i="5"/>
  <c r="E519" i="2"/>
  <c r="C519" i="2" s="1"/>
  <c r="U519" i="2" s="1"/>
  <c r="C604" i="4"/>
  <c r="C616" i="5"/>
  <c r="E504" i="2"/>
  <c r="C504" i="2" s="1"/>
  <c r="U504" i="2" s="1"/>
  <c r="C613" i="3"/>
  <c r="C625" i="5"/>
  <c r="C613" i="4"/>
  <c r="E513" i="2"/>
  <c r="C513" i="2" s="1"/>
  <c r="U513" i="2" s="1"/>
  <c r="C617" i="3"/>
  <c r="C629" i="5"/>
  <c r="C617" i="4"/>
  <c r="E517" i="2"/>
  <c r="C517" i="2" s="1"/>
  <c r="U517" i="2" s="1"/>
  <c r="M613" i="1"/>
  <c r="K557" i="2"/>
  <c r="C609" i="3"/>
  <c r="C621" i="5"/>
  <c r="E509" i="2"/>
  <c r="C509" i="2" s="1"/>
  <c r="C609" i="4"/>
  <c r="C603" i="3"/>
  <c r="C615" i="5"/>
  <c r="C603" i="4"/>
  <c r="AG1080" i="1"/>
  <c r="AE1080" i="1" s="1"/>
  <c r="C541" i="2" s="1"/>
  <c r="C606" i="3"/>
  <c r="AG1079" i="1"/>
  <c r="AE1079" i="1" s="1"/>
  <c r="C540" i="2" s="1"/>
  <c r="C605" i="3"/>
  <c r="AG1078" i="1"/>
  <c r="AE1078" i="1" s="1"/>
  <c r="C539" i="2" s="1"/>
  <c r="C604" i="3"/>
  <c r="AG1081" i="1"/>
  <c r="AE1081" i="1" s="1"/>
  <c r="C542" i="2" s="1"/>
  <c r="C607" i="3"/>
  <c r="AV1061" i="1"/>
  <c r="AO1061" i="1"/>
  <c r="W1098" i="1"/>
  <c r="AL1062" i="1"/>
  <c r="AG1084" i="1"/>
  <c r="AE1084" i="1" s="1"/>
  <c r="C545" i="2" s="1"/>
  <c r="AG1094" i="1"/>
  <c r="AE1094" i="1" s="1"/>
  <c r="C555" i="2" s="1"/>
  <c r="AG1077" i="1"/>
  <c r="AE1077" i="1" s="1"/>
  <c r="C538" i="2" s="1"/>
  <c r="AG1089" i="1"/>
  <c r="AE1089" i="1" s="1"/>
  <c r="C550" i="2" s="1"/>
  <c r="AG1093" i="1"/>
  <c r="AE1093" i="1" s="1"/>
  <c r="C554" i="2" s="1"/>
  <c r="AG1087" i="1"/>
  <c r="AE1087" i="1" s="1"/>
  <c r="C548" i="2" s="1"/>
  <c r="AG1091" i="1"/>
  <c r="AE1091" i="1" s="1"/>
  <c r="C552" i="2" s="1"/>
  <c r="AG1088" i="1"/>
  <c r="AE1088" i="1" s="1"/>
  <c r="C549" i="2" s="1"/>
  <c r="AG1092" i="1"/>
  <c r="AE1092" i="1" s="1"/>
  <c r="C553" i="2" s="1"/>
  <c r="AG1096" i="1"/>
  <c r="AE1096" i="1" s="1"/>
  <c r="C557" i="2" s="1"/>
  <c r="AG1082" i="1"/>
  <c r="AE1082" i="1" s="1"/>
  <c r="C543" i="2" s="1"/>
  <c r="AG1086" i="1"/>
  <c r="AE1086" i="1" s="1"/>
  <c r="C547" i="2" s="1"/>
  <c r="AG1083" i="1"/>
  <c r="AE1083" i="1" s="1"/>
  <c r="C544" i="2" s="1"/>
  <c r="AG1085" i="1"/>
  <c r="AE1085" i="1" s="1"/>
  <c r="C546" i="2" s="1"/>
  <c r="AG1090" i="1"/>
  <c r="AE1090" i="1" s="1"/>
  <c r="C551" i="2" s="1"/>
  <c r="AG1095" i="1"/>
  <c r="AE1095" i="1" s="1"/>
  <c r="C556" i="2" s="1"/>
  <c r="U1098" i="1"/>
  <c r="P1098" i="1"/>
  <c r="Y1098" i="1"/>
  <c r="S1098" i="1"/>
  <c r="F236" i="1"/>
  <c r="BA1038" i="1" s="1"/>
  <c r="BB1038" i="1" s="1"/>
  <c r="T1080" i="1" s="1"/>
  <c r="AF506" i="2" s="1"/>
  <c r="C1067" i="1"/>
  <c r="L1055" i="1"/>
  <c r="P1042" i="1"/>
  <c r="D1012" i="1"/>
  <c r="B1008" i="1"/>
  <c r="S1034" i="1"/>
  <c r="T1034" i="1"/>
  <c r="U1034" i="1"/>
  <c r="B1036" i="1"/>
  <c r="Q1036" i="1"/>
  <c r="Q1038" i="1"/>
  <c r="O1039" i="1"/>
  <c r="Q1039" i="1"/>
  <c r="O1040" i="1"/>
  <c r="Q1040" i="1"/>
  <c r="O1041" i="1"/>
  <c r="Q1041" i="1"/>
  <c r="O1042" i="1"/>
  <c r="Q1043" i="1"/>
  <c r="O1043" i="1"/>
  <c r="O1044" i="1"/>
  <c r="Q1044" i="1"/>
  <c r="O1045" i="1"/>
  <c r="Q1045" i="1"/>
  <c r="O1046" i="1"/>
  <c r="Q1046" i="1"/>
  <c r="O1047" i="1"/>
  <c r="Q1047" i="1"/>
  <c r="O1048" i="1"/>
  <c r="Q1048" i="1"/>
  <c r="O1049" i="1"/>
  <c r="Q1049" i="1"/>
  <c r="O1050" i="1"/>
  <c r="Q1050" i="1"/>
  <c r="O1051" i="1"/>
  <c r="Q1051" i="1"/>
  <c r="O1052" i="1"/>
  <c r="Q1052" i="1"/>
  <c r="O1053" i="1"/>
  <c r="Q1053" i="1"/>
  <c r="O1054" i="1"/>
  <c r="Q1054" i="1"/>
  <c r="I134" i="1" l="1"/>
  <c r="I553" i="2" s="1"/>
  <c r="I137" i="1"/>
  <c r="I556" i="2" s="1"/>
  <c r="I130" i="1"/>
  <c r="I549" i="2" s="1"/>
  <c r="I123" i="1"/>
  <c r="I542" i="2" s="1"/>
  <c r="O542" i="2" s="1"/>
  <c r="Q553" i="2"/>
  <c r="Q554" i="2"/>
  <c r="Q552" i="2"/>
  <c r="C630" i="6"/>
  <c r="C631" i="6" s="1"/>
  <c r="B2" i="6" s="1"/>
  <c r="G637" i="6"/>
  <c r="J650" i="6"/>
  <c r="F650" i="6" s="1"/>
  <c r="Q556" i="2"/>
  <c r="Q555" i="2"/>
  <c r="Q551" i="2"/>
  <c r="Q550" i="2"/>
  <c r="Q549" i="2"/>
  <c r="S548" i="2"/>
  <c r="O548" i="2"/>
  <c r="Q548" i="2"/>
  <c r="S547" i="2"/>
  <c r="O547" i="2"/>
  <c r="Q547" i="2"/>
  <c r="S546" i="2"/>
  <c r="O546" i="2"/>
  <c r="Q546" i="2"/>
  <c r="S544" i="2"/>
  <c r="O544" i="2"/>
  <c r="M125" i="1"/>
  <c r="G614" i="6" s="1"/>
  <c r="S543" i="2"/>
  <c r="O543" i="2"/>
  <c r="Q543" i="2"/>
  <c r="Q541" i="2"/>
  <c r="Q540" i="2"/>
  <c r="K523" i="2"/>
  <c r="Q542" i="2"/>
  <c r="J1035" i="1"/>
  <c r="K1035" i="1" s="1"/>
  <c r="I119" i="1" s="1"/>
  <c r="AG1035" i="1"/>
  <c r="AH1035" i="1" s="1"/>
  <c r="L119" i="1" s="1"/>
  <c r="M163" i="1" s="1"/>
  <c r="G1038" i="1"/>
  <c r="M1038" i="1" s="1"/>
  <c r="J1038" i="1"/>
  <c r="Q545" i="2"/>
  <c r="M546" i="2"/>
  <c r="W511" i="2"/>
  <c r="M547" i="2"/>
  <c r="W512" i="2"/>
  <c r="O523" i="2"/>
  <c r="E13" i="2" s="1"/>
  <c r="U503" i="2"/>
  <c r="M550" i="2"/>
  <c r="W515" i="2"/>
  <c r="G1035" i="1"/>
  <c r="M1035" i="1" s="1"/>
  <c r="U1035" i="1" s="1"/>
  <c r="M552" i="2"/>
  <c r="W517" i="2"/>
  <c r="M554" i="2"/>
  <c r="W519" i="2"/>
  <c r="B1037" i="1"/>
  <c r="BI1037" i="1" s="1"/>
  <c r="BI1036" i="1"/>
  <c r="M555" i="2"/>
  <c r="W520" i="2"/>
  <c r="M548" i="2"/>
  <c r="W513" i="2"/>
  <c r="M551" i="2"/>
  <c r="W516" i="2"/>
  <c r="H623" i="4"/>
  <c r="J623" i="4" s="1"/>
  <c r="O621" i="4" s="1"/>
  <c r="M543" i="2"/>
  <c r="W508" i="2"/>
  <c r="Q544" i="2"/>
  <c r="H625" i="3"/>
  <c r="B18" i="3" s="1"/>
  <c r="AK523" i="2"/>
  <c r="AE523" i="2"/>
  <c r="U509" i="2"/>
  <c r="AI523" i="2"/>
  <c r="AB523" i="2"/>
  <c r="AG523" i="2"/>
  <c r="E527" i="2"/>
  <c r="E529" i="2"/>
  <c r="E531" i="2"/>
  <c r="E533" i="2"/>
  <c r="E528" i="2"/>
  <c r="E530" i="2"/>
  <c r="E532" i="2"/>
  <c r="H624" i="3"/>
  <c r="B16" i="3" s="1"/>
  <c r="O1072" i="1"/>
  <c r="E635" i="5"/>
  <c r="E623" i="4"/>
  <c r="H635" i="4" s="1"/>
  <c r="C635" i="4" s="1"/>
  <c r="B27" i="4" s="1"/>
  <c r="H626" i="3"/>
  <c r="B20" i="3" s="1"/>
  <c r="K1091" i="1"/>
  <c r="M1091" i="1" s="1"/>
  <c r="L480" i="1"/>
  <c r="K1082" i="1"/>
  <c r="M1082" i="1" s="1"/>
  <c r="L264" i="1"/>
  <c r="K1090" i="1"/>
  <c r="M1090" i="1" s="1"/>
  <c r="L456" i="1"/>
  <c r="K1085" i="1"/>
  <c r="M1085" i="1" s="1"/>
  <c r="L336" i="1"/>
  <c r="K1086" i="1"/>
  <c r="M1086" i="1" s="1"/>
  <c r="L360" i="1"/>
  <c r="K1093" i="1"/>
  <c r="M1093" i="1" s="1"/>
  <c r="L528" i="1"/>
  <c r="K1094" i="1"/>
  <c r="M1094" i="1" s="1"/>
  <c r="L552" i="1"/>
  <c r="K1089" i="1"/>
  <c r="M1089" i="1" s="1"/>
  <c r="L432" i="1"/>
  <c r="K1087" i="1"/>
  <c r="M1087" i="1" s="1"/>
  <c r="L384" i="1"/>
  <c r="AG1036" i="1"/>
  <c r="AG1054" i="1"/>
  <c r="AH1054" i="1" s="1"/>
  <c r="L138" i="1" s="1"/>
  <c r="G1054" i="1"/>
  <c r="M1054" i="1" s="1"/>
  <c r="J1054" i="1"/>
  <c r="AK1062" i="1"/>
  <c r="AM1062" i="1"/>
  <c r="AE1098" i="1"/>
  <c r="AF1098" i="1" s="1"/>
  <c r="F260" i="1"/>
  <c r="BA1039" i="1" s="1"/>
  <c r="BB1039" i="1" s="1"/>
  <c r="T1081" i="1" s="1"/>
  <c r="AF507" i="2" s="1"/>
  <c r="B142" i="1"/>
  <c r="J1042" i="1"/>
  <c r="G1036" i="1"/>
  <c r="M1036" i="1" s="1"/>
  <c r="J1036" i="1"/>
  <c r="G1042" i="1"/>
  <c r="M1042" i="1" s="1"/>
  <c r="AA1035" i="1"/>
  <c r="K119" i="1" s="1"/>
  <c r="D1013" i="1"/>
  <c r="T1038" i="1"/>
  <c r="U1049" i="1"/>
  <c r="S1041" i="1"/>
  <c r="U1039" i="1"/>
  <c r="T1050" i="1"/>
  <c r="S1046" i="1"/>
  <c r="T1046" i="1"/>
  <c r="U1046" i="1"/>
  <c r="S1038" i="1"/>
  <c r="O1038" i="1"/>
  <c r="S1050" i="1"/>
  <c r="U1050" i="1"/>
  <c r="U1047" i="1"/>
  <c r="S1052" i="1"/>
  <c r="T1049" i="1"/>
  <c r="T1041" i="1"/>
  <c r="U1038" i="1"/>
  <c r="U1053" i="1"/>
  <c r="S1049" i="1"/>
  <c r="T1045" i="1"/>
  <c r="S1045" i="1"/>
  <c r="S1044" i="1"/>
  <c r="U1051" i="1"/>
  <c r="T1044" i="1"/>
  <c r="U1044" i="1"/>
  <c r="Q1037" i="1"/>
  <c r="T1048" i="1"/>
  <c r="U1048" i="1"/>
  <c r="T1040" i="1"/>
  <c r="U1040" i="1"/>
  <c r="T1053" i="1"/>
  <c r="S1051" i="1"/>
  <c r="T1051" i="1"/>
  <c r="U1045" i="1"/>
  <c r="Q1042" i="1"/>
  <c r="U1041" i="1"/>
  <c r="S1043" i="1"/>
  <c r="T1043" i="1"/>
  <c r="S1053" i="1"/>
  <c r="T1052" i="1"/>
  <c r="U1052" i="1"/>
  <c r="S1048" i="1"/>
  <c r="S1047" i="1"/>
  <c r="T1047" i="1"/>
  <c r="U1043" i="1"/>
  <c r="S1040" i="1"/>
  <c r="S1039" i="1"/>
  <c r="T1039" i="1"/>
  <c r="AD1072" i="1" l="1"/>
  <c r="AS1061" i="1" s="1"/>
  <c r="M147" i="1"/>
  <c r="N1035" i="1"/>
  <c r="W509" i="2"/>
  <c r="AJ1035" i="1"/>
  <c r="M119" i="1" s="1"/>
  <c r="G608" i="6" s="1"/>
  <c r="L538" i="2"/>
  <c r="Q538" i="2" s="1"/>
  <c r="AO1062" i="1"/>
  <c r="AM1065" i="1" s="1"/>
  <c r="AO1064" i="1"/>
  <c r="AU1064" i="1" s="1"/>
  <c r="AK1064" i="1"/>
  <c r="AM1064" i="1"/>
  <c r="AM1061" i="1"/>
  <c r="AK1063" i="1"/>
  <c r="AQ1063" i="1"/>
  <c r="AQ1061" i="1"/>
  <c r="AY1061" i="1" s="1"/>
  <c r="AK1061" i="1"/>
  <c r="AO1063" i="1"/>
  <c r="AU1063" i="1" s="1"/>
  <c r="K1038" i="1"/>
  <c r="Y1036" i="1"/>
  <c r="AS1063" i="1" s="1"/>
  <c r="J1037" i="1"/>
  <c r="G1037" i="1"/>
  <c r="G1056" i="1" s="1"/>
  <c r="C1056" i="1" s="1"/>
  <c r="B673" i="1" s="1"/>
  <c r="K540" i="2"/>
  <c r="M205" i="1"/>
  <c r="B1038" i="1"/>
  <c r="BI1038" i="1" s="1"/>
  <c r="F1090" i="1"/>
  <c r="B9" i="2"/>
  <c r="B7" i="2"/>
  <c r="F1091" i="1"/>
  <c r="B6" i="2"/>
  <c r="B11" i="2"/>
  <c r="B10" i="2"/>
  <c r="F1087" i="1"/>
  <c r="F1086" i="1"/>
  <c r="J624" i="4"/>
  <c r="H624" i="4"/>
  <c r="C624" i="4" s="1"/>
  <c r="M556" i="2"/>
  <c r="W521" i="2"/>
  <c r="Y520" i="2"/>
  <c r="R520" i="2" s="1"/>
  <c r="Y512" i="2"/>
  <c r="R512" i="2" s="1"/>
  <c r="K1042" i="1"/>
  <c r="AJ1042" i="1"/>
  <c r="M126" i="1" s="1"/>
  <c r="G615" i="6" s="1"/>
  <c r="M542" i="2"/>
  <c r="W507" i="2"/>
  <c r="M619" i="1"/>
  <c r="L557" i="2"/>
  <c r="L624" i="4"/>
  <c r="Y516" i="2"/>
  <c r="R516" i="2" s="1"/>
  <c r="Y513" i="2"/>
  <c r="R513" i="2" s="1"/>
  <c r="Y511" i="2"/>
  <c r="R511" i="2" s="1"/>
  <c r="K1054" i="1"/>
  <c r="I138" i="1" s="1"/>
  <c r="AJ1054" i="1"/>
  <c r="M138" i="1" s="1"/>
  <c r="G627" i="6" s="1"/>
  <c r="Y515" i="2"/>
  <c r="R515" i="2" s="1"/>
  <c r="M553" i="2"/>
  <c r="W518" i="2"/>
  <c r="Y517" i="2"/>
  <c r="R517" i="2" s="1"/>
  <c r="M549" i="2"/>
  <c r="W514" i="2"/>
  <c r="Y519" i="2"/>
  <c r="R519" i="2" s="1"/>
  <c r="Y508" i="2"/>
  <c r="R508" i="2" s="1"/>
  <c r="S538" i="2"/>
  <c r="M544" i="2"/>
  <c r="I647" i="5"/>
  <c r="F647" i="5" s="1"/>
  <c r="C647" i="5" s="1"/>
  <c r="B35" i="5" s="1"/>
  <c r="I638" i="5"/>
  <c r="F638" i="5" s="1"/>
  <c r="C638" i="5" s="1"/>
  <c r="B16" i="5" s="1"/>
  <c r="B16" i="4"/>
  <c r="H625" i="4"/>
  <c r="F1085" i="1"/>
  <c r="M603" i="1"/>
  <c r="F1089" i="1"/>
  <c r="F1082" i="1"/>
  <c r="F1094" i="1"/>
  <c r="K1083" i="1"/>
  <c r="M1083" i="1" s="1"/>
  <c r="L288" i="1"/>
  <c r="K1092" i="1"/>
  <c r="M1092" i="1" s="1"/>
  <c r="L504" i="1"/>
  <c r="K1081" i="1"/>
  <c r="M1081" i="1" s="1"/>
  <c r="L240" i="1"/>
  <c r="K1095" i="1"/>
  <c r="M1095" i="1" s="1"/>
  <c r="L576" i="1"/>
  <c r="K1088" i="1"/>
  <c r="M1088" i="1" s="1"/>
  <c r="L408" i="1"/>
  <c r="F1093" i="1"/>
  <c r="T1054" i="1"/>
  <c r="K1036" i="1"/>
  <c r="I120" i="1" s="1"/>
  <c r="AH1036" i="1"/>
  <c r="L120" i="1" s="1"/>
  <c r="S1054" i="1"/>
  <c r="U1054" i="1"/>
  <c r="B16" i="2"/>
  <c r="F284" i="1"/>
  <c r="BA1040" i="1" s="1"/>
  <c r="BB1040" i="1" s="1"/>
  <c r="T1082" i="1" s="1"/>
  <c r="AF508" i="2" s="1"/>
  <c r="U1036" i="1"/>
  <c r="S1036" i="1"/>
  <c r="T1036" i="1"/>
  <c r="T1035" i="1"/>
  <c r="T1042" i="1"/>
  <c r="S1035" i="1"/>
  <c r="S1042" i="1"/>
  <c r="U1042" i="1"/>
  <c r="K538" i="2"/>
  <c r="D1014" i="1"/>
  <c r="D1015" i="1" s="1"/>
  <c r="AA1036" i="1"/>
  <c r="K120" i="1" s="1"/>
  <c r="Q1035" i="1"/>
  <c r="Q1055" i="1" s="1"/>
  <c r="P1055" i="1" s="1"/>
  <c r="I126" i="1" l="1"/>
  <c r="I545" i="2" s="1"/>
  <c r="O545" i="2" s="1"/>
  <c r="I122" i="1"/>
  <c r="I541" i="2" s="1"/>
  <c r="O541" i="2" s="1"/>
  <c r="AT1061" i="1"/>
  <c r="BA1061" i="1"/>
  <c r="BE1062" i="1"/>
  <c r="B1039" i="1"/>
  <c r="BI1039" i="1" s="1"/>
  <c r="W503" i="2"/>
  <c r="Y503" i="2" s="1"/>
  <c r="R503" i="2" s="1"/>
  <c r="K1077" i="1"/>
  <c r="M538" i="2"/>
  <c r="AJ1038" i="1"/>
  <c r="M122" i="1" s="1"/>
  <c r="G611" i="6" s="1"/>
  <c r="AH1062" i="1"/>
  <c r="I538" i="2"/>
  <c r="O538" i="2" s="1"/>
  <c r="AP1064" i="1"/>
  <c r="AQ1064" i="1"/>
  <c r="AY1063" i="1"/>
  <c r="BE1063" i="1" s="1"/>
  <c r="AW1063" i="1"/>
  <c r="BC1061" i="1"/>
  <c r="M1037" i="1"/>
  <c r="S1037" i="1"/>
  <c r="S1056" i="1" s="1"/>
  <c r="T1037" i="1"/>
  <c r="T1056" i="1" s="1"/>
  <c r="U1037" i="1"/>
  <c r="U1056" i="1" s="1"/>
  <c r="K1037" i="1"/>
  <c r="I557" i="2"/>
  <c r="Y507" i="2"/>
  <c r="R507" i="2" s="1"/>
  <c r="Y521" i="2"/>
  <c r="R521" i="2" s="1"/>
  <c r="Q1057" i="1"/>
  <c r="P1057" i="1"/>
  <c r="Y514" i="2"/>
  <c r="R514" i="2" s="1"/>
  <c r="S557" i="2"/>
  <c r="Q557" i="2"/>
  <c r="Y518" i="2"/>
  <c r="R518" i="2" s="1"/>
  <c r="AJ1036" i="1"/>
  <c r="M120" i="1" s="1"/>
  <c r="Y509" i="2"/>
  <c r="R509" i="2" s="1"/>
  <c r="I625" i="4"/>
  <c r="C625" i="4" s="1"/>
  <c r="F1083" i="1"/>
  <c r="F1092" i="1"/>
  <c r="F1095" i="1"/>
  <c r="F1081" i="1"/>
  <c r="K1096" i="1"/>
  <c r="M1096" i="1" s="1"/>
  <c r="L600" i="1"/>
  <c r="F1088" i="1"/>
  <c r="AW1061" i="1"/>
  <c r="AS1064" i="1"/>
  <c r="AW1064" i="1" s="1"/>
  <c r="F308" i="1"/>
  <c r="BA1041" i="1" s="1"/>
  <c r="BB1041" i="1" s="1"/>
  <c r="T1083" i="1" s="1"/>
  <c r="AF509" i="2" s="1"/>
  <c r="AF523" i="2" s="1"/>
  <c r="B8" i="2" s="1"/>
  <c r="M1055" i="1"/>
  <c r="M157" i="1"/>
  <c r="L144" i="1"/>
  <c r="P1056" i="1"/>
  <c r="N1036" i="1"/>
  <c r="O1036" i="1" s="1"/>
  <c r="O1035" i="1"/>
  <c r="C1060" i="1"/>
  <c r="B676" i="1" s="1"/>
  <c r="B1040" i="1" l="1"/>
  <c r="BI1040" i="1" s="1"/>
  <c r="I121" i="1"/>
  <c r="N1037" i="1"/>
  <c r="O1037" i="1" s="1"/>
  <c r="O1055" i="1" s="1"/>
  <c r="N1055" i="1" s="1"/>
  <c r="AH1064" i="1"/>
  <c r="K1080" i="1"/>
  <c r="M1080" i="1" s="1"/>
  <c r="F1080" i="1" s="1"/>
  <c r="K1056" i="1"/>
  <c r="L216" i="1"/>
  <c r="M541" i="2"/>
  <c r="W506" i="2"/>
  <c r="Y506" i="2" s="1"/>
  <c r="R506" i="2" s="1"/>
  <c r="W504" i="2"/>
  <c r="G609" i="6"/>
  <c r="G628" i="6" s="1"/>
  <c r="L18" i="6" s="1"/>
  <c r="AO1065" i="1"/>
  <c r="AH1063" i="1"/>
  <c r="AJ1037" i="1"/>
  <c r="M121" i="1" s="1"/>
  <c r="G610" i="6" s="1"/>
  <c r="M195" i="1"/>
  <c r="I540" i="2"/>
  <c r="O540" i="2" s="1"/>
  <c r="M181" i="1"/>
  <c r="K539" i="2"/>
  <c r="M545" i="2"/>
  <c r="W510" i="2"/>
  <c r="M557" i="2"/>
  <c r="W522" i="2"/>
  <c r="M171" i="1"/>
  <c r="I539" i="2"/>
  <c r="M187" i="1"/>
  <c r="L539" i="2"/>
  <c r="BE1061" i="1"/>
  <c r="B17" i="4"/>
  <c r="F1096" i="1"/>
  <c r="K1084" i="1"/>
  <c r="M1084" i="1" s="1"/>
  <c r="L312" i="1"/>
  <c r="M1077" i="1"/>
  <c r="M144" i="1"/>
  <c r="AH1061" i="1"/>
  <c r="AQ1065" i="1"/>
  <c r="BE1064" i="1"/>
  <c r="AK1065" i="1"/>
  <c r="F332" i="1"/>
  <c r="BA1042" i="1" s="1"/>
  <c r="BB1042" i="1" s="1"/>
  <c r="T1084" i="1" s="1"/>
  <c r="AF510" i="2" s="1"/>
  <c r="U1058" i="1"/>
  <c r="T1058" i="1"/>
  <c r="S1058" i="1"/>
  <c r="B1041" i="1"/>
  <c r="BI1041" i="1" s="1"/>
  <c r="L1056" i="1" l="1"/>
  <c r="C1059" i="1" s="1"/>
  <c r="B675" i="1" s="1"/>
  <c r="L1057" i="1"/>
  <c r="N1057" i="1" s="1"/>
  <c r="M1057" i="1"/>
  <c r="B25" i="6"/>
  <c r="B15" i="6"/>
  <c r="B22" i="6"/>
  <c r="I637" i="6"/>
  <c r="W505" i="2"/>
  <c r="Y505" i="2" s="1"/>
  <c r="R505" i="2" s="1"/>
  <c r="M540" i="2"/>
  <c r="L192" i="1"/>
  <c r="K1079" i="1"/>
  <c r="Y522" i="2"/>
  <c r="R522" i="2" s="1"/>
  <c r="Y510" i="2"/>
  <c r="R510" i="2" s="1"/>
  <c r="S539" i="2"/>
  <c r="S558" i="2" s="1"/>
  <c r="B23" i="2" s="1"/>
  <c r="Q539" i="2"/>
  <c r="O539" i="2"/>
  <c r="M539" i="2"/>
  <c r="BF1061" i="1"/>
  <c r="F1084" i="1"/>
  <c r="K1078" i="1"/>
  <c r="L168" i="1"/>
  <c r="AS1065" i="1"/>
  <c r="F1077" i="1"/>
  <c r="O1071" i="1" s="1"/>
  <c r="F356" i="1"/>
  <c r="BA1043" i="1" s="1"/>
  <c r="BB1043" i="1" s="1"/>
  <c r="T1085" i="1" s="1"/>
  <c r="AF511" i="2" s="1"/>
  <c r="R1058" i="1"/>
  <c r="B1042" i="1"/>
  <c r="BI1042" i="1" s="1"/>
  <c r="E1069" i="1" l="1"/>
  <c r="C1069" i="1" s="1"/>
  <c r="B677" i="1" s="1"/>
  <c r="B684" i="1" s="1"/>
  <c r="C1071" i="1"/>
  <c r="I1071" i="1"/>
  <c r="F639" i="6"/>
  <c r="B21" i="6" s="1"/>
  <c r="I638" i="6"/>
  <c r="B20" i="6" s="1"/>
  <c r="B16" i="6"/>
  <c r="M21" i="2"/>
  <c r="M1078" i="1"/>
  <c r="AK1060" i="1"/>
  <c r="AH1060" i="1" s="1"/>
  <c r="B20" i="2" s="1"/>
  <c r="H22" i="2"/>
  <c r="J34" i="2"/>
  <c r="B37" i="2"/>
  <c r="K34" i="2"/>
  <c r="E28" i="2"/>
  <c r="B34" i="2"/>
  <c r="F31" i="2"/>
  <c r="M24" i="2"/>
  <c r="E25" i="2"/>
  <c r="H34" i="2"/>
  <c r="F28" i="2"/>
  <c r="K28" i="2"/>
  <c r="B21" i="2"/>
  <c r="B26" i="2"/>
  <c r="I22" i="2"/>
  <c r="E22" i="2"/>
  <c r="M34" i="2"/>
  <c r="B36" i="2"/>
  <c r="K22" i="2"/>
  <c r="E34" i="2"/>
  <c r="C31" i="2"/>
  <c r="D34" i="2"/>
  <c r="B30" i="2"/>
  <c r="B33" i="2"/>
  <c r="B27" i="2"/>
  <c r="F22" i="2"/>
  <c r="K31" i="2"/>
  <c r="I28" i="2"/>
  <c r="G34" i="2"/>
  <c r="B24" i="2"/>
  <c r="B22" i="2"/>
  <c r="H31" i="2"/>
  <c r="B28" i="2"/>
  <c r="B32" i="2"/>
  <c r="M27" i="2"/>
  <c r="B29" i="2"/>
  <c r="M30" i="2"/>
  <c r="M1079" i="1"/>
  <c r="F1079" i="1" s="1"/>
  <c r="Y504" i="2"/>
  <c r="R504" i="2" s="1"/>
  <c r="R523" i="2" s="1"/>
  <c r="B5" i="2" s="1"/>
  <c r="BE1065" i="1"/>
  <c r="M33" i="2" s="1"/>
  <c r="H1061" i="1"/>
  <c r="C1061" i="1" s="1"/>
  <c r="C1058" i="1" s="1"/>
  <c r="AH1065" i="1"/>
  <c r="B35" i="2" s="1"/>
  <c r="F1078" i="1"/>
  <c r="F1098" i="1" s="1"/>
  <c r="F380" i="1"/>
  <c r="BA1044" i="1" s="1"/>
  <c r="BB1044" i="1" s="1"/>
  <c r="T1086" i="1" s="1"/>
  <c r="AF512" i="2" s="1"/>
  <c r="B1043" i="1"/>
  <c r="BI1043" i="1" s="1"/>
  <c r="O527" i="2" l="1"/>
  <c r="B674" i="1"/>
  <c r="F404" i="1"/>
  <c r="BA1045" i="1" s="1"/>
  <c r="BB1045" i="1" s="1"/>
  <c r="T1087" i="1" s="1"/>
  <c r="AF513" i="2" s="1"/>
  <c r="B1044" i="1"/>
  <c r="BI1044" i="1" s="1"/>
  <c r="B681" i="1" l="1"/>
  <c r="B692" i="1"/>
  <c r="B682" i="1"/>
  <c r="C679" i="1"/>
  <c r="B687" i="1"/>
  <c r="B686" i="1"/>
  <c r="I679" i="1"/>
  <c r="B683" i="1"/>
  <c r="B685" i="1"/>
  <c r="F428" i="1"/>
  <c r="BA1046" i="1" s="1"/>
  <c r="BB1046" i="1" s="1"/>
  <c r="T1088" i="1" s="1"/>
  <c r="AF514" i="2" s="1"/>
  <c r="B1045" i="1"/>
  <c r="B1046" i="1" l="1"/>
  <c r="BI1045" i="1"/>
  <c r="F452" i="1"/>
  <c r="BA1047" i="1" s="1"/>
  <c r="BB1047" i="1" s="1"/>
  <c r="T1089" i="1" s="1"/>
  <c r="AF515" i="2" s="1"/>
  <c r="B1047" i="1" l="1"/>
  <c r="BI1046" i="1"/>
  <c r="F476" i="1"/>
  <c r="BA1048" i="1" s="1"/>
  <c r="BB1048" i="1" s="1"/>
  <c r="T1090" i="1" s="1"/>
  <c r="AF516" i="2" s="1"/>
  <c r="B1048" i="1" l="1"/>
  <c r="BI1047" i="1"/>
  <c r="F500" i="1"/>
  <c r="BA1049" i="1" s="1"/>
  <c r="BB1049" i="1" s="1"/>
  <c r="T1091" i="1" s="1"/>
  <c r="AF517" i="2" s="1"/>
  <c r="B1049" i="1" l="1"/>
  <c r="BI1048" i="1"/>
  <c r="F524" i="1"/>
  <c r="BA1050" i="1" s="1"/>
  <c r="BB1050" i="1" s="1"/>
  <c r="T1092" i="1" s="1"/>
  <c r="AF518" i="2" s="1"/>
  <c r="B1050" i="1" l="1"/>
  <c r="BI1049" i="1"/>
  <c r="F548" i="1"/>
  <c r="BA1051" i="1" s="1"/>
  <c r="BB1051" i="1" s="1"/>
  <c r="T1093" i="1" s="1"/>
  <c r="AF519" i="2" s="1"/>
  <c r="B1051" i="1" l="1"/>
  <c r="BI1050" i="1"/>
  <c r="F572" i="1"/>
  <c r="BA1052" i="1" s="1"/>
  <c r="BB1052" i="1" s="1"/>
  <c r="T1094" i="1" s="1"/>
  <c r="AF520" i="2" l="1"/>
  <c r="T1098" i="1"/>
  <c r="B1052" i="1"/>
  <c r="BI1051" i="1"/>
  <c r="F596" i="1"/>
  <c r="BA1053" i="1" s="1"/>
  <c r="BB1053" i="1" s="1"/>
  <c r="T1095" i="1" s="1"/>
  <c r="AF521" i="2" s="1"/>
  <c r="B1053" i="1" l="1"/>
  <c r="BI1052" i="1"/>
  <c r="F620" i="1"/>
  <c r="BA1054" i="1" s="1"/>
  <c r="BB1054" i="1" s="1"/>
  <c r="T1096" i="1" s="1"/>
  <c r="AF522" i="2" s="1"/>
  <c r="B1054" i="1" l="1"/>
  <c r="BI1054" i="1" s="1"/>
  <c r="BI10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 Turner</author>
  </authors>
  <commentList>
    <comment ref="N28" authorId="0" shapeId="0" xr:uid="{3FAB15CA-D3DF-4974-821E-BE476BD4355B}">
      <text>
        <r>
          <rPr>
            <sz val="9"/>
            <color indexed="81"/>
            <rFont val="Tahoma"/>
            <family val="2"/>
          </rPr>
          <t xml:space="preserve">
</t>
        </r>
      </text>
    </comment>
    <comment ref="N50" authorId="0" shapeId="0" xr:uid="{A1BB9497-789A-4C1A-8A7C-9B93738276E6}">
      <text>
        <r>
          <rPr>
            <sz val="9"/>
            <color indexed="81"/>
            <rFont val="Tahoma"/>
            <family val="2"/>
          </rPr>
          <t xml:space="preserve">
</t>
        </r>
      </text>
    </comment>
    <comment ref="N72" authorId="0" shapeId="0" xr:uid="{11A29412-1BA6-4238-818C-2A5CCA35E33B}">
      <text>
        <r>
          <rPr>
            <sz val="9"/>
            <color indexed="81"/>
            <rFont val="Tahoma"/>
            <family val="2"/>
          </rPr>
          <t xml:space="preserve">
</t>
        </r>
      </text>
    </comment>
    <comment ref="N94" authorId="0" shapeId="0" xr:uid="{EA67FF82-AA23-42AC-951B-75E0D4155774}">
      <text>
        <r>
          <rPr>
            <sz val="9"/>
            <color indexed="81"/>
            <rFont val="Tahoma"/>
            <family val="2"/>
          </rPr>
          <t xml:space="preserve">
</t>
        </r>
      </text>
    </comment>
    <comment ref="I118" authorId="0" shapeId="0" xr:uid="{675E5EFB-641B-45A8-A26E-99633A60E667}">
      <text>
        <r>
          <rPr>
            <b/>
            <sz val="11"/>
            <color indexed="81"/>
            <rFont val="Tahoma"/>
            <family val="2"/>
          </rPr>
          <t>Their expressed need</t>
        </r>
        <r>
          <rPr>
            <b/>
            <sz val="9"/>
            <color indexed="81"/>
            <rFont val="Tahoma"/>
            <family val="2"/>
          </rPr>
          <t>:</t>
        </r>
        <r>
          <rPr>
            <sz val="9"/>
            <color indexed="81"/>
            <rFont val="Tahoma"/>
            <family val="2"/>
          </rPr>
          <t xml:space="preserve">
</t>
        </r>
        <r>
          <rPr>
            <sz val="10"/>
            <color indexed="81"/>
            <rFont val="Tahoma"/>
            <family val="2"/>
          </rPr>
          <t>Rates how responsive invited person is to your invitation to express a need to you.</t>
        </r>
      </text>
    </comment>
    <comment ref="J118" authorId="0" shapeId="0" xr:uid="{325BC692-E813-4ED5-BBEE-F6D346329A1A}">
      <text>
        <r>
          <rPr>
            <b/>
            <sz val="11"/>
            <color indexed="81"/>
            <rFont val="Tahoma"/>
            <family val="2"/>
          </rPr>
          <t>Your responsiveness</t>
        </r>
        <r>
          <rPr>
            <b/>
            <sz val="9"/>
            <color indexed="81"/>
            <rFont val="Tahoma"/>
            <family val="2"/>
          </rPr>
          <t>:</t>
        </r>
        <r>
          <rPr>
            <sz val="9"/>
            <color indexed="81"/>
            <rFont val="Tahoma"/>
            <family val="2"/>
          </rPr>
          <t xml:space="preserve">
</t>
        </r>
        <r>
          <rPr>
            <sz val="10"/>
            <color indexed="81"/>
            <rFont val="Tahoma"/>
            <family val="2"/>
          </rPr>
          <t>Rates how responsive you are to their expressed need.</t>
        </r>
      </text>
    </comment>
    <comment ref="K118" authorId="0" shapeId="0" xr:uid="{2E293C7F-948C-4D7B-804C-0A1F32F97CF7}">
      <text>
        <r>
          <rPr>
            <b/>
            <sz val="11"/>
            <color indexed="81"/>
            <rFont val="Tahoma"/>
            <family val="2"/>
          </rPr>
          <t>Your expressed need</t>
        </r>
        <r>
          <rPr>
            <b/>
            <sz val="9"/>
            <color indexed="81"/>
            <rFont val="Tahoma"/>
            <family val="2"/>
          </rPr>
          <t>:</t>
        </r>
        <r>
          <rPr>
            <sz val="9"/>
            <color indexed="81"/>
            <rFont val="Tahoma"/>
            <family val="2"/>
          </rPr>
          <t xml:space="preserve">
</t>
        </r>
        <r>
          <rPr>
            <sz val="10"/>
            <color indexed="81"/>
            <rFont val="Tahoma"/>
            <family val="2"/>
          </rPr>
          <t>Rates their responsiveness to your expressed need.</t>
        </r>
      </text>
    </comment>
    <comment ref="L118" authorId="0" shapeId="0" xr:uid="{D880CD33-9FC3-4A21-9B65-F318AB4B8AF3}">
      <text>
        <r>
          <rPr>
            <b/>
            <sz val="11"/>
            <color indexed="81"/>
            <rFont val="Tahoma"/>
            <family val="2"/>
          </rPr>
          <t>Their responsiveness</t>
        </r>
        <r>
          <rPr>
            <b/>
            <sz val="9"/>
            <color indexed="81"/>
            <rFont val="Tahoma"/>
            <family val="2"/>
          </rPr>
          <t>:</t>
        </r>
        <r>
          <rPr>
            <sz val="9"/>
            <color indexed="81"/>
            <rFont val="Tahoma"/>
            <family val="2"/>
          </rPr>
          <t xml:space="preserve">
</t>
        </r>
        <r>
          <rPr>
            <sz val="10"/>
            <color indexed="81"/>
            <rFont val="Tahoma"/>
            <family val="2"/>
          </rPr>
          <t>Rates how responsive they are to joining your possible wellness campaign.</t>
        </r>
      </text>
    </comment>
    <comment ref="M118" authorId="0" shapeId="0" xr:uid="{9757A467-0043-4B64-85C7-5A70610688BF}">
      <text/>
    </comment>
    <comment ref="E150" authorId="0" shapeId="0" xr:uid="{4310D923-3F3D-4A30-92D7-BF92210DCC9F}">
      <text>
        <r>
          <rPr>
            <b/>
            <sz val="9"/>
            <color indexed="81"/>
            <rFont val="Tahoma"/>
            <family val="2"/>
          </rPr>
          <t>context:</t>
        </r>
        <r>
          <rPr>
            <sz val="9"/>
            <color indexed="81"/>
            <rFont val="Tahoma"/>
            <family val="2"/>
          </rPr>
          <t xml:space="preserve">
</t>
        </r>
      </text>
    </comment>
    <comment ref="C153" authorId="0" shapeId="0" xr:uid="{F4949BF4-1966-4A2C-B282-38CEECFCA216}">
      <text>
        <r>
          <rPr>
            <b/>
            <sz val="9"/>
            <color indexed="17"/>
            <rFont val="Tahoma"/>
            <family val="2"/>
          </rPr>
          <t>Any presenting barrier to honoring their expressed need:</t>
        </r>
        <r>
          <rPr>
            <sz val="9"/>
            <color indexed="81"/>
            <rFont val="Tahoma"/>
            <family val="2"/>
          </rPr>
          <t xml:space="preserve">
</t>
        </r>
      </text>
    </comment>
    <comment ref="C154" authorId="0" shapeId="0" xr:uid="{4C4F2268-6DFB-48EF-A45C-400ADACEF0E4}">
      <text>
        <r>
          <rPr>
            <b/>
            <sz val="9"/>
            <color indexed="17"/>
            <rFont val="Tahoma"/>
            <family val="2"/>
          </rPr>
          <t>Any feedback they gave to the efforts to honor their need:</t>
        </r>
        <r>
          <rPr>
            <sz val="9"/>
            <color indexed="81"/>
            <rFont val="Tahoma"/>
            <family val="2"/>
          </rPr>
          <t xml:space="preserve">
</t>
        </r>
      </text>
    </comment>
    <comment ref="M161" authorId="0" shapeId="0" xr:uid="{DDBEDD6C-F836-406D-BEB2-0482E69CE153}">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166" authorId="0" shapeId="0" xr:uid="{7FB1D2E3-250A-45C4-BAF7-CF786CBA6AE5}">
      <text>
        <r>
          <rPr>
            <b/>
            <sz val="9"/>
            <color indexed="27"/>
            <rFont val="Tahoma"/>
            <family val="2"/>
          </rPr>
          <t>Use the 'F-up2' tab Message Template to remind invitee to join your upcoming wellness campaign</t>
        </r>
      </text>
    </comment>
    <comment ref="E174" authorId="0" shapeId="0" xr:uid="{2948905F-0931-4147-A864-5B540883DC4C}">
      <text>
        <r>
          <rPr>
            <b/>
            <sz val="9"/>
            <color indexed="81"/>
            <rFont val="Tahoma"/>
            <family val="2"/>
          </rPr>
          <t>context:</t>
        </r>
        <r>
          <rPr>
            <sz val="9"/>
            <color indexed="81"/>
            <rFont val="Tahoma"/>
            <family val="2"/>
          </rPr>
          <t xml:space="preserve">
</t>
        </r>
      </text>
    </comment>
    <comment ref="C177" authorId="0" shapeId="0" xr:uid="{3ECDE9E5-9BFF-4A25-BD06-42409B1DF042}">
      <text>
        <r>
          <rPr>
            <b/>
            <sz val="9"/>
            <color indexed="81"/>
            <rFont val="Tahoma"/>
            <family val="2"/>
          </rPr>
          <t>Any presenting barrier to honoring their expressed need:</t>
        </r>
        <r>
          <rPr>
            <sz val="9"/>
            <color indexed="81"/>
            <rFont val="Tahoma"/>
            <family val="2"/>
          </rPr>
          <t xml:space="preserve">
</t>
        </r>
      </text>
    </comment>
    <comment ref="C178" authorId="0" shapeId="0" xr:uid="{D7EA2323-8937-47ED-AC99-C3C8EADA9A3E}">
      <text>
        <r>
          <rPr>
            <b/>
            <sz val="9"/>
            <color indexed="81"/>
            <rFont val="Tahoma"/>
            <family val="2"/>
          </rPr>
          <t>Any feedback they gave to the efforts to honor their need:</t>
        </r>
        <r>
          <rPr>
            <sz val="9"/>
            <color indexed="81"/>
            <rFont val="Tahoma"/>
            <family val="2"/>
          </rPr>
          <t xml:space="preserve">
</t>
        </r>
      </text>
    </comment>
    <comment ref="M185" authorId="0" shapeId="0" xr:uid="{F1853439-78CA-4465-BCF4-DDD529B32A9A}">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190" authorId="0" shapeId="0" xr:uid="{D07F66A7-4D9A-4EF1-AD43-CF73428B9F68}">
      <text>
        <r>
          <rPr>
            <b/>
            <sz val="9"/>
            <color indexed="27"/>
            <rFont val="Tahoma"/>
            <family val="2"/>
          </rPr>
          <t>Use the 'F-up2' tab Message Template to remind invitee to join your upcoming wellness campaign</t>
        </r>
      </text>
    </comment>
    <comment ref="E198" authorId="0" shapeId="0" xr:uid="{DD3A1134-F9BD-4954-BD2C-E0E4E956772B}">
      <text>
        <r>
          <rPr>
            <b/>
            <sz val="9"/>
            <color indexed="81"/>
            <rFont val="Tahoma"/>
            <family val="2"/>
          </rPr>
          <t>context:</t>
        </r>
        <r>
          <rPr>
            <sz val="9"/>
            <color indexed="81"/>
            <rFont val="Tahoma"/>
            <family val="2"/>
          </rPr>
          <t xml:space="preserve">
</t>
        </r>
      </text>
    </comment>
    <comment ref="C201" authorId="0" shapeId="0" xr:uid="{129D73EF-278D-4AE8-8B2C-A0AC012F846C}">
      <text>
        <r>
          <rPr>
            <b/>
            <sz val="9"/>
            <color indexed="81"/>
            <rFont val="Tahoma"/>
            <family val="2"/>
          </rPr>
          <t>Any presenting barrier to honoring their expressed need:</t>
        </r>
        <r>
          <rPr>
            <sz val="9"/>
            <color indexed="81"/>
            <rFont val="Tahoma"/>
            <family val="2"/>
          </rPr>
          <t xml:space="preserve">
</t>
        </r>
      </text>
    </comment>
    <comment ref="C202" authorId="0" shapeId="0" xr:uid="{F4DFD6F2-636F-41F2-AD7D-F9CCAEC7BB2E}">
      <text>
        <r>
          <rPr>
            <b/>
            <sz val="9"/>
            <color indexed="81"/>
            <rFont val="Tahoma"/>
            <family val="2"/>
          </rPr>
          <t>Any feedback they gave to the efforts to honor their need:</t>
        </r>
        <r>
          <rPr>
            <sz val="9"/>
            <color indexed="81"/>
            <rFont val="Tahoma"/>
            <family val="2"/>
          </rPr>
          <t xml:space="preserve">
</t>
        </r>
      </text>
    </comment>
    <comment ref="M209" authorId="0" shapeId="0" xr:uid="{27DAD39B-9350-4569-906F-0E372C501EEF}">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214" authorId="0" shapeId="0" xr:uid="{06B709C5-EDF8-4BCF-9153-656629C81CF3}">
      <text>
        <r>
          <rPr>
            <b/>
            <sz val="9"/>
            <color indexed="27"/>
            <rFont val="Tahoma"/>
            <family val="2"/>
          </rPr>
          <t>Use the 'F-up2' tab Message Template to remind invitee to join your upcoming wellness campaign</t>
        </r>
      </text>
    </comment>
    <comment ref="E222" authorId="0" shapeId="0" xr:uid="{2FB5C791-C26D-4049-8665-4531AF797C1A}">
      <text>
        <r>
          <rPr>
            <b/>
            <sz val="9"/>
            <color indexed="81"/>
            <rFont val="Tahoma"/>
            <family val="2"/>
          </rPr>
          <t>context:</t>
        </r>
        <r>
          <rPr>
            <sz val="9"/>
            <color indexed="81"/>
            <rFont val="Tahoma"/>
            <family val="2"/>
          </rPr>
          <t xml:space="preserve">
</t>
        </r>
      </text>
    </comment>
    <comment ref="C225" authorId="0" shapeId="0" xr:uid="{70E8BEC0-57AD-49D4-B45D-99D84ED84E4A}">
      <text>
        <r>
          <rPr>
            <b/>
            <sz val="9"/>
            <color indexed="81"/>
            <rFont val="Tahoma"/>
            <family val="2"/>
          </rPr>
          <t>Any presenting barrier to honoring their expressed need:</t>
        </r>
        <r>
          <rPr>
            <sz val="9"/>
            <color indexed="81"/>
            <rFont val="Tahoma"/>
            <family val="2"/>
          </rPr>
          <t xml:space="preserve">
</t>
        </r>
      </text>
    </comment>
    <comment ref="C226" authorId="0" shapeId="0" xr:uid="{C1F52CA9-C30B-4B7A-9E08-AA071D9C0376}">
      <text>
        <r>
          <rPr>
            <b/>
            <sz val="9"/>
            <color indexed="81"/>
            <rFont val="Tahoma"/>
            <family val="2"/>
          </rPr>
          <t>Any feedback they gave to the efforts to honor their need:</t>
        </r>
        <r>
          <rPr>
            <sz val="9"/>
            <color indexed="81"/>
            <rFont val="Tahoma"/>
            <family val="2"/>
          </rPr>
          <t xml:space="preserve">
</t>
        </r>
      </text>
    </comment>
    <comment ref="M233" authorId="0" shapeId="0" xr:uid="{AE068B47-9439-4451-996E-AC1740AF1DCD}">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238" authorId="0" shapeId="0" xr:uid="{B402EBCA-40AE-4B3F-B3E3-7FE1C711736E}">
      <text>
        <r>
          <rPr>
            <b/>
            <sz val="9"/>
            <color indexed="27"/>
            <rFont val="Tahoma"/>
            <family val="2"/>
          </rPr>
          <t>Use the 'F-up2' tab Message Template to remind invitee to join your upcoming wellness campaign</t>
        </r>
      </text>
    </comment>
    <comment ref="E246" authorId="0" shapeId="0" xr:uid="{F3634FEE-D26A-4E58-A1AD-186177F5E18A}">
      <text>
        <r>
          <rPr>
            <b/>
            <sz val="9"/>
            <color indexed="81"/>
            <rFont val="Tahoma"/>
            <family val="2"/>
          </rPr>
          <t>context:</t>
        </r>
        <r>
          <rPr>
            <sz val="9"/>
            <color indexed="81"/>
            <rFont val="Tahoma"/>
            <family val="2"/>
          </rPr>
          <t xml:space="preserve">
</t>
        </r>
      </text>
    </comment>
    <comment ref="C249" authorId="0" shapeId="0" xr:uid="{C15C41B4-C1E6-4722-8BD7-F3D3BB1609BA}">
      <text>
        <r>
          <rPr>
            <b/>
            <sz val="9"/>
            <color indexed="81"/>
            <rFont val="Tahoma"/>
            <family val="2"/>
          </rPr>
          <t>Any presenting barrier to honoring their expressed need:</t>
        </r>
        <r>
          <rPr>
            <sz val="9"/>
            <color indexed="81"/>
            <rFont val="Tahoma"/>
            <family val="2"/>
          </rPr>
          <t xml:space="preserve">
</t>
        </r>
      </text>
    </comment>
    <comment ref="C250" authorId="0" shapeId="0" xr:uid="{48DE697D-3BAB-48AF-9BE8-9CB0BF97FC03}">
      <text>
        <r>
          <rPr>
            <b/>
            <sz val="9"/>
            <color indexed="81"/>
            <rFont val="Tahoma"/>
            <family val="2"/>
          </rPr>
          <t>Any feedback they gave to the efforts to honor their need:</t>
        </r>
        <r>
          <rPr>
            <sz val="9"/>
            <color indexed="81"/>
            <rFont val="Tahoma"/>
            <family val="2"/>
          </rPr>
          <t xml:space="preserve">
</t>
        </r>
      </text>
    </comment>
    <comment ref="M257" authorId="0" shapeId="0" xr:uid="{52C192C8-89AF-447F-802A-7BD937F6186D}">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262" authorId="0" shapeId="0" xr:uid="{31C828A1-B287-42D8-A105-593246572389}">
      <text>
        <r>
          <rPr>
            <b/>
            <sz val="9"/>
            <color indexed="27"/>
            <rFont val="Tahoma"/>
            <family val="2"/>
          </rPr>
          <t>Use the 'F-up2' tab Message Template to remind invitee to join your upcoming wellness campaign</t>
        </r>
      </text>
    </comment>
    <comment ref="E270" authorId="0" shapeId="0" xr:uid="{C09D40CD-259E-4B64-91CD-66ACE119664E}">
      <text>
        <r>
          <rPr>
            <b/>
            <sz val="9"/>
            <color indexed="81"/>
            <rFont val="Tahoma"/>
            <family val="2"/>
          </rPr>
          <t>context:</t>
        </r>
        <r>
          <rPr>
            <sz val="9"/>
            <color indexed="81"/>
            <rFont val="Tahoma"/>
            <family val="2"/>
          </rPr>
          <t xml:space="preserve">
</t>
        </r>
      </text>
    </comment>
    <comment ref="C273" authorId="0" shapeId="0" xr:uid="{0352416A-22BA-426F-97F4-6FB9CD7FD285}">
      <text>
        <r>
          <rPr>
            <b/>
            <sz val="9"/>
            <color indexed="81"/>
            <rFont val="Tahoma"/>
            <family val="2"/>
          </rPr>
          <t>Any presenting barrier to honoring their expressed need:</t>
        </r>
        <r>
          <rPr>
            <sz val="9"/>
            <color indexed="81"/>
            <rFont val="Tahoma"/>
            <family val="2"/>
          </rPr>
          <t xml:space="preserve">
</t>
        </r>
      </text>
    </comment>
    <comment ref="C274" authorId="0" shapeId="0" xr:uid="{38A850D8-32B2-4302-9B27-567B7CD90E73}">
      <text>
        <r>
          <rPr>
            <b/>
            <sz val="9"/>
            <color indexed="81"/>
            <rFont val="Tahoma"/>
            <family val="2"/>
          </rPr>
          <t>Any feedback they gave to the efforts to honor their need:</t>
        </r>
        <r>
          <rPr>
            <sz val="9"/>
            <color indexed="81"/>
            <rFont val="Tahoma"/>
            <family val="2"/>
          </rPr>
          <t xml:space="preserve">
</t>
        </r>
      </text>
    </comment>
    <comment ref="M281" authorId="0" shapeId="0" xr:uid="{6DF07BF4-CA88-485F-B79E-816AA23EB99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286" authorId="0" shapeId="0" xr:uid="{E57E330D-D802-44F4-BC1E-F550EDCEA8C5}">
      <text>
        <r>
          <rPr>
            <b/>
            <sz val="9"/>
            <color indexed="27"/>
            <rFont val="Tahoma"/>
            <family val="2"/>
          </rPr>
          <t>Use the 'F-up2' tab Message Template to remind invitee to join your upcoming wellness campaign</t>
        </r>
      </text>
    </comment>
    <comment ref="E294" authorId="0" shapeId="0" xr:uid="{A00483B4-14CA-4517-BCB6-695C3C558CF4}">
      <text>
        <r>
          <rPr>
            <b/>
            <sz val="9"/>
            <color indexed="81"/>
            <rFont val="Tahoma"/>
            <family val="2"/>
          </rPr>
          <t>context:</t>
        </r>
        <r>
          <rPr>
            <sz val="9"/>
            <color indexed="81"/>
            <rFont val="Tahoma"/>
            <family val="2"/>
          </rPr>
          <t xml:space="preserve">
</t>
        </r>
      </text>
    </comment>
    <comment ref="C297" authorId="0" shapeId="0" xr:uid="{44B674D1-207E-459F-ACD3-5AF34B44CF05}">
      <text>
        <r>
          <rPr>
            <b/>
            <sz val="9"/>
            <color indexed="81"/>
            <rFont val="Tahoma"/>
            <family val="2"/>
          </rPr>
          <t>Any presenting barrier to honoring their expressed need:</t>
        </r>
        <r>
          <rPr>
            <sz val="9"/>
            <color indexed="81"/>
            <rFont val="Tahoma"/>
            <family val="2"/>
          </rPr>
          <t xml:space="preserve">
</t>
        </r>
      </text>
    </comment>
    <comment ref="C298" authorId="0" shapeId="0" xr:uid="{0FDC6EAB-07BF-49B4-831F-2FB551B9B453}">
      <text>
        <r>
          <rPr>
            <b/>
            <sz val="9"/>
            <color indexed="81"/>
            <rFont val="Tahoma"/>
            <family val="2"/>
          </rPr>
          <t>Any feedback they gave to the efforts to honor their need:</t>
        </r>
        <r>
          <rPr>
            <sz val="9"/>
            <color indexed="81"/>
            <rFont val="Tahoma"/>
            <family val="2"/>
          </rPr>
          <t xml:space="preserve">
</t>
        </r>
      </text>
    </comment>
    <comment ref="M305" authorId="0" shapeId="0" xr:uid="{A7CAE698-9B5F-4999-8E0C-BD86206929FE}">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310" authorId="0" shapeId="0" xr:uid="{D1BFB82C-25B2-4AFF-A137-5B3052DC914C}">
      <text>
        <r>
          <rPr>
            <b/>
            <sz val="9"/>
            <color indexed="27"/>
            <rFont val="Tahoma"/>
            <family val="2"/>
          </rPr>
          <t>Use the 'F-up2' tab Message Template to remind invitee to join your upcoming wellness campaign</t>
        </r>
      </text>
    </comment>
    <comment ref="E318" authorId="0" shapeId="0" xr:uid="{70EC2767-F006-4FEB-BA4A-749E83ACF817}">
      <text>
        <r>
          <rPr>
            <b/>
            <sz val="9"/>
            <color indexed="81"/>
            <rFont val="Tahoma"/>
            <family val="2"/>
          </rPr>
          <t>context:</t>
        </r>
        <r>
          <rPr>
            <sz val="9"/>
            <color indexed="81"/>
            <rFont val="Tahoma"/>
            <family val="2"/>
          </rPr>
          <t xml:space="preserve">
</t>
        </r>
      </text>
    </comment>
    <comment ref="C321" authorId="0" shapeId="0" xr:uid="{D12872C7-8C82-4ABB-BE4E-612456BDB5E7}">
      <text>
        <r>
          <rPr>
            <b/>
            <sz val="9"/>
            <color indexed="81"/>
            <rFont val="Tahoma"/>
            <family val="2"/>
          </rPr>
          <t>Any presenting barrier to honoring their expressed need:</t>
        </r>
        <r>
          <rPr>
            <sz val="9"/>
            <color indexed="81"/>
            <rFont val="Tahoma"/>
            <family val="2"/>
          </rPr>
          <t xml:space="preserve">
</t>
        </r>
      </text>
    </comment>
    <comment ref="C322" authorId="0" shapeId="0" xr:uid="{8AD23B4C-CE59-46EA-89F4-452DB8433019}">
      <text>
        <r>
          <rPr>
            <b/>
            <sz val="9"/>
            <color indexed="81"/>
            <rFont val="Tahoma"/>
            <family val="2"/>
          </rPr>
          <t>Any feedback they gave to the efforts to honor their need:</t>
        </r>
        <r>
          <rPr>
            <sz val="9"/>
            <color indexed="81"/>
            <rFont val="Tahoma"/>
            <family val="2"/>
          </rPr>
          <t xml:space="preserve">
</t>
        </r>
      </text>
    </comment>
    <comment ref="M329" authorId="0" shapeId="0" xr:uid="{26A7E9E5-55AF-4D81-A157-4FEC3BFC1562}">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334" authorId="0" shapeId="0" xr:uid="{E21DB7C9-518B-4D1B-AA63-37871781DDC9}">
      <text>
        <r>
          <rPr>
            <b/>
            <sz val="9"/>
            <color indexed="27"/>
            <rFont val="Tahoma"/>
            <family val="2"/>
          </rPr>
          <t>Use the 'F-up2' tab Message Template to remind invitee to join your upcoming wellness campaign</t>
        </r>
      </text>
    </comment>
    <comment ref="E342" authorId="0" shapeId="0" xr:uid="{094D4FD9-2175-446C-948A-40EA22768A7C}">
      <text>
        <r>
          <rPr>
            <b/>
            <sz val="9"/>
            <color indexed="81"/>
            <rFont val="Tahoma"/>
            <family val="2"/>
          </rPr>
          <t>context:</t>
        </r>
        <r>
          <rPr>
            <sz val="9"/>
            <color indexed="81"/>
            <rFont val="Tahoma"/>
            <family val="2"/>
          </rPr>
          <t xml:space="preserve">
</t>
        </r>
      </text>
    </comment>
    <comment ref="C345" authorId="0" shapeId="0" xr:uid="{FEFEB802-7FCA-4774-AD01-A2036E443BDF}">
      <text>
        <r>
          <rPr>
            <b/>
            <sz val="9"/>
            <color indexed="81"/>
            <rFont val="Tahoma"/>
            <family val="2"/>
          </rPr>
          <t>Any presenting barrier to honoring their expressed need:</t>
        </r>
        <r>
          <rPr>
            <sz val="9"/>
            <color indexed="81"/>
            <rFont val="Tahoma"/>
            <family val="2"/>
          </rPr>
          <t xml:space="preserve">
</t>
        </r>
      </text>
    </comment>
    <comment ref="C346" authorId="0" shapeId="0" xr:uid="{BE07E3D4-C912-49E1-A39A-2FB888DFCC05}">
      <text>
        <r>
          <rPr>
            <b/>
            <sz val="9"/>
            <color indexed="81"/>
            <rFont val="Tahoma"/>
            <family val="2"/>
          </rPr>
          <t>Any feedback they gave to the efforts to honor their need:</t>
        </r>
        <r>
          <rPr>
            <sz val="9"/>
            <color indexed="81"/>
            <rFont val="Tahoma"/>
            <family val="2"/>
          </rPr>
          <t xml:space="preserve">
</t>
        </r>
      </text>
    </comment>
    <comment ref="M353" authorId="0" shapeId="0" xr:uid="{F8036486-C86F-452A-BF42-D364116FA290}">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358" authorId="0" shapeId="0" xr:uid="{0C26E4B6-61B6-486A-9722-A477F58C228C}">
      <text>
        <r>
          <rPr>
            <b/>
            <sz val="9"/>
            <color indexed="27"/>
            <rFont val="Tahoma"/>
            <family val="2"/>
          </rPr>
          <t>Use the 'F-up2' tab Message Template to remind invitee to join your upcoming wellness campaign</t>
        </r>
      </text>
    </comment>
    <comment ref="E366" authorId="0" shapeId="0" xr:uid="{644AE0AA-027D-4682-A68F-C051FF606D77}">
      <text>
        <r>
          <rPr>
            <b/>
            <sz val="9"/>
            <color indexed="81"/>
            <rFont val="Tahoma"/>
            <family val="2"/>
          </rPr>
          <t>context:</t>
        </r>
        <r>
          <rPr>
            <sz val="9"/>
            <color indexed="81"/>
            <rFont val="Tahoma"/>
            <family val="2"/>
          </rPr>
          <t xml:space="preserve">
</t>
        </r>
      </text>
    </comment>
    <comment ref="C369" authorId="0" shapeId="0" xr:uid="{E7084F56-5516-4B71-966B-A91B5445EDD8}">
      <text>
        <r>
          <rPr>
            <b/>
            <sz val="9"/>
            <color indexed="81"/>
            <rFont val="Tahoma"/>
            <family val="2"/>
          </rPr>
          <t>Any presenting barrier to honoring their expressed need:</t>
        </r>
        <r>
          <rPr>
            <sz val="9"/>
            <color indexed="81"/>
            <rFont val="Tahoma"/>
            <family val="2"/>
          </rPr>
          <t xml:space="preserve">
</t>
        </r>
      </text>
    </comment>
    <comment ref="C370" authorId="0" shapeId="0" xr:uid="{3A67BD74-0EA6-4EC5-8A64-FF4A28B1B867}">
      <text>
        <r>
          <rPr>
            <b/>
            <sz val="9"/>
            <color indexed="81"/>
            <rFont val="Tahoma"/>
            <family val="2"/>
          </rPr>
          <t>Any feedback they gave to the efforts to honor their need:</t>
        </r>
        <r>
          <rPr>
            <sz val="9"/>
            <color indexed="81"/>
            <rFont val="Tahoma"/>
            <family val="2"/>
          </rPr>
          <t xml:space="preserve">
</t>
        </r>
      </text>
    </comment>
    <comment ref="M377" authorId="0" shapeId="0" xr:uid="{5BB177C8-FEC4-458B-8374-BE296AEFA561}">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382" authorId="0" shapeId="0" xr:uid="{77085ABC-429F-4813-B34E-389D736D119B}">
      <text>
        <r>
          <rPr>
            <b/>
            <sz val="9"/>
            <color indexed="27"/>
            <rFont val="Tahoma"/>
            <family val="2"/>
          </rPr>
          <t>Use the 'F-up2' tab Message Template to remind invitee to join your upcoming wellness campaign</t>
        </r>
      </text>
    </comment>
    <comment ref="E390" authorId="0" shapeId="0" xr:uid="{E3D75D96-0EC7-40B6-9F30-5AF68AA5BEF1}">
      <text>
        <r>
          <rPr>
            <b/>
            <sz val="9"/>
            <color indexed="81"/>
            <rFont val="Tahoma"/>
            <family val="2"/>
          </rPr>
          <t>context:</t>
        </r>
        <r>
          <rPr>
            <sz val="9"/>
            <color indexed="81"/>
            <rFont val="Tahoma"/>
            <family val="2"/>
          </rPr>
          <t xml:space="preserve">
</t>
        </r>
      </text>
    </comment>
    <comment ref="C393" authorId="0" shapeId="0" xr:uid="{F58D691A-E687-4730-8299-8A82B030F8DB}">
      <text>
        <r>
          <rPr>
            <b/>
            <sz val="9"/>
            <color indexed="81"/>
            <rFont val="Tahoma"/>
            <family val="2"/>
          </rPr>
          <t>Any presenting barrier to honoring their expressed need:</t>
        </r>
        <r>
          <rPr>
            <sz val="9"/>
            <color indexed="81"/>
            <rFont val="Tahoma"/>
            <family val="2"/>
          </rPr>
          <t xml:space="preserve">
</t>
        </r>
      </text>
    </comment>
    <comment ref="C394" authorId="0" shapeId="0" xr:uid="{B723C630-3443-4360-AC4C-A17E778A90C9}">
      <text>
        <r>
          <rPr>
            <b/>
            <sz val="9"/>
            <color indexed="81"/>
            <rFont val="Tahoma"/>
            <family val="2"/>
          </rPr>
          <t>Any feedback they gave to the efforts to honor their need:</t>
        </r>
        <r>
          <rPr>
            <sz val="9"/>
            <color indexed="81"/>
            <rFont val="Tahoma"/>
            <family val="2"/>
          </rPr>
          <t xml:space="preserve">
</t>
        </r>
      </text>
    </comment>
    <comment ref="M401" authorId="0" shapeId="0" xr:uid="{D68768BB-5AD9-43CD-B14E-A89959108755}">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406" authorId="0" shapeId="0" xr:uid="{BF51A8A1-1BD0-4F06-8286-968C9D8E28ED}">
      <text>
        <r>
          <rPr>
            <b/>
            <sz val="9"/>
            <color indexed="27"/>
            <rFont val="Tahoma"/>
            <family val="2"/>
          </rPr>
          <t>Use the 'F-up2' tab Message Template to remind invitee to join your upcoming wellness campaign</t>
        </r>
      </text>
    </comment>
    <comment ref="E414" authorId="0" shapeId="0" xr:uid="{9286873D-3B3E-4879-95BF-1F31261B7BEC}">
      <text>
        <r>
          <rPr>
            <b/>
            <sz val="9"/>
            <color indexed="81"/>
            <rFont val="Tahoma"/>
            <family val="2"/>
          </rPr>
          <t>context:</t>
        </r>
        <r>
          <rPr>
            <sz val="9"/>
            <color indexed="81"/>
            <rFont val="Tahoma"/>
            <family val="2"/>
          </rPr>
          <t xml:space="preserve">
</t>
        </r>
      </text>
    </comment>
    <comment ref="C417" authorId="0" shapeId="0" xr:uid="{CBB13C21-0141-4349-88C6-814EC262D77E}">
      <text>
        <r>
          <rPr>
            <b/>
            <sz val="9"/>
            <color indexed="81"/>
            <rFont val="Tahoma"/>
            <family val="2"/>
          </rPr>
          <t>Any presenting barrier to honoring their expressed need:</t>
        </r>
        <r>
          <rPr>
            <sz val="9"/>
            <color indexed="81"/>
            <rFont val="Tahoma"/>
            <family val="2"/>
          </rPr>
          <t xml:space="preserve">
</t>
        </r>
      </text>
    </comment>
    <comment ref="C418" authorId="0" shapeId="0" xr:uid="{3E63B7BA-898F-48D0-AF85-C99270B3EDE8}">
      <text>
        <r>
          <rPr>
            <b/>
            <sz val="9"/>
            <color indexed="81"/>
            <rFont val="Tahoma"/>
            <family val="2"/>
          </rPr>
          <t>Any feedback they gave to the efforts to honor their need:</t>
        </r>
        <r>
          <rPr>
            <sz val="9"/>
            <color indexed="81"/>
            <rFont val="Tahoma"/>
            <family val="2"/>
          </rPr>
          <t xml:space="preserve">
</t>
        </r>
      </text>
    </comment>
    <comment ref="M425" authorId="0" shapeId="0" xr:uid="{25BF190B-2244-4E8B-9238-8FC69759F345}">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430" authorId="0" shapeId="0" xr:uid="{EC9B9B9B-9CFF-4A44-B030-1BAFAF20DFA5}">
      <text>
        <r>
          <rPr>
            <b/>
            <sz val="9"/>
            <color indexed="27"/>
            <rFont val="Tahoma"/>
            <family val="2"/>
          </rPr>
          <t>Use the 'F-up2' tab Message Template to remind invitee to join your upcoming wellness campaign</t>
        </r>
      </text>
    </comment>
    <comment ref="E438" authorId="0" shapeId="0" xr:uid="{35EE3EA3-F8E1-474D-8484-D34C2DEF2988}">
      <text>
        <r>
          <rPr>
            <b/>
            <sz val="9"/>
            <color indexed="81"/>
            <rFont val="Tahoma"/>
            <family val="2"/>
          </rPr>
          <t>context:</t>
        </r>
        <r>
          <rPr>
            <sz val="9"/>
            <color indexed="81"/>
            <rFont val="Tahoma"/>
            <family val="2"/>
          </rPr>
          <t xml:space="preserve">
</t>
        </r>
      </text>
    </comment>
    <comment ref="C441" authorId="0" shapeId="0" xr:uid="{FD44F9CA-4F13-4375-9162-9931F341978A}">
      <text>
        <r>
          <rPr>
            <b/>
            <sz val="9"/>
            <color indexed="81"/>
            <rFont val="Tahoma"/>
            <family val="2"/>
          </rPr>
          <t>Any presenting barrier to honoring their expressed need:</t>
        </r>
        <r>
          <rPr>
            <sz val="9"/>
            <color indexed="81"/>
            <rFont val="Tahoma"/>
            <family val="2"/>
          </rPr>
          <t xml:space="preserve">
</t>
        </r>
      </text>
    </comment>
    <comment ref="C442" authorId="0" shapeId="0" xr:uid="{1B83F3B3-34B1-45A0-BB55-29B62CD1F496}">
      <text>
        <r>
          <rPr>
            <b/>
            <sz val="9"/>
            <color indexed="81"/>
            <rFont val="Tahoma"/>
            <family val="2"/>
          </rPr>
          <t>Any feedback they gave to the efforts to honor their need:</t>
        </r>
        <r>
          <rPr>
            <sz val="9"/>
            <color indexed="81"/>
            <rFont val="Tahoma"/>
            <family val="2"/>
          </rPr>
          <t xml:space="preserve">
</t>
        </r>
      </text>
    </comment>
    <comment ref="M449" authorId="0" shapeId="0" xr:uid="{0EF6C815-78F7-4C1D-9539-FD5B866662AC}">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454" authorId="0" shapeId="0" xr:uid="{323160FF-FD8A-48D0-AF3C-6A8F06139D4D}">
      <text>
        <r>
          <rPr>
            <b/>
            <sz val="9"/>
            <color indexed="27"/>
            <rFont val="Tahoma"/>
            <family val="2"/>
          </rPr>
          <t>Use the 'F-up2' tab Message Template to remind invitee to join your upcoming wellness campaign</t>
        </r>
      </text>
    </comment>
    <comment ref="E462" authorId="0" shapeId="0" xr:uid="{05C4BCFF-2076-42E3-8119-F29530506438}">
      <text>
        <r>
          <rPr>
            <b/>
            <sz val="9"/>
            <color indexed="81"/>
            <rFont val="Tahoma"/>
            <family val="2"/>
          </rPr>
          <t>context:</t>
        </r>
        <r>
          <rPr>
            <sz val="9"/>
            <color indexed="81"/>
            <rFont val="Tahoma"/>
            <family val="2"/>
          </rPr>
          <t xml:space="preserve">
</t>
        </r>
      </text>
    </comment>
    <comment ref="C465" authorId="0" shapeId="0" xr:uid="{9A69A24D-7225-4AA4-A7BF-1BD84259B6A2}">
      <text>
        <r>
          <rPr>
            <b/>
            <sz val="9"/>
            <color indexed="81"/>
            <rFont val="Tahoma"/>
            <family val="2"/>
          </rPr>
          <t>Any presenting barrier to honoring their expressed need:</t>
        </r>
        <r>
          <rPr>
            <sz val="9"/>
            <color indexed="81"/>
            <rFont val="Tahoma"/>
            <family val="2"/>
          </rPr>
          <t xml:space="preserve">
</t>
        </r>
      </text>
    </comment>
    <comment ref="C466" authorId="0" shapeId="0" xr:uid="{1BEFD481-25D9-49DC-8E8D-F893C1D4AFE8}">
      <text>
        <r>
          <rPr>
            <b/>
            <sz val="9"/>
            <color indexed="81"/>
            <rFont val="Tahoma"/>
            <family val="2"/>
          </rPr>
          <t>Any feedback they gave to the efforts to honor their need:</t>
        </r>
        <r>
          <rPr>
            <sz val="9"/>
            <color indexed="81"/>
            <rFont val="Tahoma"/>
            <family val="2"/>
          </rPr>
          <t xml:space="preserve">
</t>
        </r>
      </text>
    </comment>
    <comment ref="M473" authorId="0" shapeId="0" xr:uid="{40F1574A-DFCE-44D2-8129-13EAC07639B3}">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478" authorId="0" shapeId="0" xr:uid="{558F4380-7DF0-496A-B5B1-D6EFB18F690E}">
      <text>
        <r>
          <rPr>
            <b/>
            <sz val="9"/>
            <color indexed="27"/>
            <rFont val="Tahoma"/>
            <family val="2"/>
          </rPr>
          <t>Use the 'F-up2' tab Message Template to remind invitee to join your upcoming wellness campaign</t>
        </r>
      </text>
    </comment>
    <comment ref="E486" authorId="0" shapeId="0" xr:uid="{AE58561E-E20C-4534-B5FC-E1280B9DDC5B}">
      <text>
        <r>
          <rPr>
            <b/>
            <sz val="9"/>
            <color indexed="81"/>
            <rFont val="Tahoma"/>
            <family val="2"/>
          </rPr>
          <t>context:</t>
        </r>
        <r>
          <rPr>
            <sz val="9"/>
            <color indexed="81"/>
            <rFont val="Tahoma"/>
            <family val="2"/>
          </rPr>
          <t xml:space="preserve">
</t>
        </r>
      </text>
    </comment>
    <comment ref="C489" authorId="0" shapeId="0" xr:uid="{75D4BFFD-6F57-48DF-9DDD-789B53DA7B96}">
      <text>
        <r>
          <rPr>
            <b/>
            <sz val="9"/>
            <color indexed="81"/>
            <rFont val="Tahoma"/>
            <family val="2"/>
          </rPr>
          <t>Any presenting barrier to honoring their expressed need:</t>
        </r>
        <r>
          <rPr>
            <sz val="9"/>
            <color indexed="81"/>
            <rFont val="Tahoma"/>
            <family val="2"/>
          </rPr>
          <t xml:space="preserve">
</t>
        </r>
      </text>
    </comment>
    <comment ref="C490" authorId="0" shapeId="0" xr:uid="{2C51A1C1-380C-4646-ACB2-78629E7A3F98}">
      <text>
        <r>
          <rPr>
            <b/>
            <sz val="9"/>
            <color indexed="81"/>
            <rFont val="Tahoma"/>
            <family val="2"/>
          </rPr>
          <t>Any feedback they gave to the efforts to honor their need:</t>
        </r>
        <r>
          <rPr>
            <sz val="9"/>
            <color indexed="81"/>
            <rFont val="Tahoma"/>
            <family val="2"/>
          </rPr>
          <t xml:space="preserve">
</t>
        </r>
      </text>
    </comment>
    <comment ref="M497" authorId="0" shapeId="0" xr:uid="{833ED1E7-C310-44BD-B21F-F37852A255B1}">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502" authorId="0" shapeId="0" xr:uid="{4274E89B-72DF-4FB6-97DF-501ED1B0EDEB}">
      <text>
        <r>
          <rPr>
            <b/>
            <sz val="9"/>
            <color indexed="27"/>
            <rFont val="Tahoma"/>
            <family val="2"/>
          </rPr>
          <t>Use the 'F-up2' tab Message Template to remind invitee to join your upcoming wellness campaign</t>
        </r>
      </text>
    </comment>
    <comment ref="E510" authorId="0" shapeId="0" xr:uid="{868A6CEE-6414-4302-B3B5-CD01F91F3902}">
      <text>
        <r>
          <rPr>
            <b/>
            <sz val="9"/>
            <color indexed="81"/>
            <rFont val="Tahoma"/>
            <family val="2"/>
          </rPr>
          <t>context:</t>
        </r>
        <r>
          <rPr>
            <sz val="9"/>
            <color indexed="81"/>
            <rFont val="Tahoma"/>
            <family val="2"/>
          </rPr>
          <t xml:space="preserve">
</t>
        </r>
      </text>
    </comment>
    <comment ref="C513" authorId="0" shapeId="0" xr:uid="{D3308677-9930-4FF1-A510-2F95141562F7}">
      <text>
        <r>
          <rPr>
            <b/>
            <sz val="9"/>
            <color indexed="81"/>
            <rFont val="Tahoma"/>
            <family val="2"/>
          </rPr>
          <t>Any presenting barrier to honoring their expressed need:</t>
        </r>
        <r>
          <rPr>
            <sz val="9"/>
            <color indexed="81"/>
            <rFont val="Tahoma"/>
            <family val="2"/>
          </rPr>
          <t xml:space="preserve">
</t>
        </r>
      </text>
    </comment>
    <comment ref="C514" authorId="0" shapeId="0" xr:uid="{C03A091E-156B-4D25-8A86-F9422D4F6B71}">
      <text>
        <r>
          <rPr>
            <b/>
            <sz val="9"/>
            <color indexed="81"/>
            <rFont val="Tahoma"/>
            <family val="2"/>
          </rPr>
          <t>Any feedback they gave to the efforts to honor their need:</t>
        </r>
        <r>
          <rPr>
            <sz val="9"/>
            <color indexed="81"/>
            <rFont val="Tahoma"/>
            <family val="2"/>
          </rPr>
          <t xml:space="preserve">
</t>
        </r>
      </text>
    </comment>
    <comment ref="M521" authorId="0" shapeId="0" xr:uid="{9D98A0EC-BDC3-47D2-858D-6F240F79B5EA}">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526" authorId="0" shapeId="0" xr:uid="{5F9E464C-341A-4915-A537-F13E52B7E1F5}">
      <text>
        <r>
          <rPr>
            <b/>
            <sz val="9"/>
            <color indexed="27"/>
            <rFont val="Tahoma"/>
            <family val="2"/>
          </rPr>
          <t>Use the 'F-up2' tab Message Template to remind invitee to join your upcoming wellness campaign</t>
        </r>
      </text>
    </comment>
    <comment ref="E534" authorId="0" shapeId="0" xr:uid="{715D777E-53F4-4591-96FE-201B58450EFB}">
      <text>
        <r>
          <rPr>
            <b/>
            <sz val="9"/>
            <color indexed="81"/>
            <rFont val="Tahoma"/>
            <family val="2"/>
          </rPr>
          <t>context:</t>
        </r>
        <r>
          <rPr>
            <sz val="9"/>
            <color indexed="81"/>
            <rFont val="Tahoma"/>
            <family val="2"/>
          </rPr>
          <t xml:space="preserve">
</t>
        </r>
      </text>
    </comment>
    <comment ref="C537" authorId="0" shapeId="0" xr:uid="{40AA4C87-C23D-427B-AA7E-A352C4D060EA}">
      <text>
        <r>
          <rPr>
            <b/>
            <sz val="9"/>
            <color indexed="81"/>
            <rFont val="Tahoma"/>
            <family val="2"/>
          </rPr>
          <t>Any presenting barrier to honoring their expressed need:</t>
        </r>
        <r>
          <rPr>
            <sz val="9"/>
            <color indexed="81"/>
            <rFont val="Tahoma"/>
            <family val="2"/>
          </rPr>
          <t xml:space="preserve">
</t>
        </r>
      </text>
    </comment>
    <comment ref="C538" authorId="0" shapeId="0" xr:uid="{2BF1FF18-9759-429A-BC89-B52AA3B6E634}">
      <text>
        <r>
          <rPr>
            <b/>
            <sz val="9"/>
            <color indexed="81"/>
            <rFont val="Tahoma"/>
            <family val="2"/>
          </rPr>
          <t>Any feedback they gave to the efforts to honor their need:</t>
        </r>
        <r>
          <rPr>
            <sz val="9"/>
            <color indexed="81"/>
            <rFont val="Tahoma"/>
            <family val="2"/>
          </rPr>
          <t xml:space="preserve">
</t>
        </r>
      </text>
    </comment>
    <comment ref="M545" authorId="0" shapeId="0" xr:uid="{1AC8F89C-732D-4F61-96BE-B327AA424CC9}">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550" authorId="0" shapeId="0" xr:uid="{AE9AB579-40A8-455D-A9BD-7865C96DE2F5}">
      <text>
        <r>
          <rPr>
            <b/>
            <sz val="9"/>
            <color indexed="27"/>
            <rFont val="Tahoma"/>
            <family val="2"/>
          </rPr>
          <t>Use the 'F-up2' tab Message Template to remind invitee to join your upcoming wellness campaign</t>
        </r>
      </text>
    </comment>
    <comment ref="E558" authorId="0" shapeId="0" xr:uid="{204D05F2-FBAE-4DDB-9555-5F7C82C3BD38}">
      <text>
        <r>
          <rPr>
            <b/>
            <sz val="9"/>
            <color indexed="81"/>
            <rFont val="Tahoma"/>
            <family val="2"/>
          </rPr>
          <t>context:</t>
        </r>
        <r>
          <rPr>
            <sz val="9"/>
            <color indexed="81"/>
            <rFont val="Tahoma"/>
            <family val="2"/>
          </rPr>
          <t xml:space="preserve">
</t>
        </r>
      </text>
    </comment>
    <comment ref="C561" authorId="0" shapeId="0" xr:uid="{F0BEF674-EF45-41B3-82D1-E09ADE056CD6}">
      <text>
        <r>
          <rPr>
            <b/>
            <sz val="9"/>
            <color indexed="81"/>
            <rFont val="Tahoma"/>
            <family val="2"/>
          </rPr>
          <t>Any presenting barrier to honoring their expressed need:</t>
        </r>
        <r>
          <rPr>
            <sz val="9"/>
            <color indexed="81"/>
            <rFont val="Tahoma"/>
            <family val="2"/>
          </rPr>
          <t xml:space="preserve">
</t>
        </r>
      </text>
    </comment>
    <comment ref="C562" authorId="0" shapeId="0" xr:uid="{0DBDCD30-22B4-4CFD-AA1F-B4A9F5ECA640}">
      <text>
        <r>
          <rPr>
            <b/>
            <sz val="9"/>
            <color indexed="81"/>
            <rFont val="Tahoma"/>
            <family val="2"/>
          </rPr>
          <t>Any feedback they gave to the efforts to honor their need:</t>
        </r>
        <r>
          <rPr>
            <sz val="9"/>
            <color indexed="81"/>
            <rFont val="Tahoma"/>
            <family val="2"/>
          </rPr>
          <t xml:space="preserve">
</t>
        </r>
      </text>
    </comment>
    <comment ref="M569" authorId="0" shapeId="0" xr:uid="{0C6D6F23-C343-41E4-AF58-EF441FD716D6}">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574" authorId="0" shapeId="0" xr:uid="{15A77DAA-3760-4903-AFDC-6209B8EEA554}">
      <text>
        <r>
          <rPr>
            <b/>
            <sz val="9"/>
            <color indexed="27"/>
            <rFont val="Tahoma"/>
            <family val="2"/>
          </rPr>
          <t>Use the 'F-up2' tab Message Template to remind invitee to join your upcoming wellness campaign</t>
        </r>
      </text>
    </comment>
    <comment ref="E582" authorId="0" shapeId="0" xr:uid="{09FFEB1F-BF5F-4F77-9381-E8F6459AC6D2}">
      <text>
        <r>
          <rPr>
            <b/>
            <sz val="9"/>
            <color indexed="81"/>
            <rFont val="Tahoma"/>
            <family val="2"/>
          </rPr>
          <t>context:</t>
        </r>
        <r>
          <rPr>
            <sz val="9"/>
            <color indexed="81"/>
            <rFont val="Tahoma"/>
            <family val="2"/>
          </rPr>
          <t xml:space="preserve">
</t>
        </r>
      </text>
    </comment>
    <comment ref="C585" authorId="0" shapeId="0" xr:uid="{A627BD21-BEDE-4C5D-8E94-3AE2D59D58A2}">
      <text>
        <r>
          <rPr>
            <b/>
            <sz val="9"/>
            <color indexed="81"/>
            <rFont val="Tahoma"/>
            <family val="2"/>
          </rPr>
          <t>Any presenting barrier to honoring their expressed need:</t>
        </r>
        <r>
          <rPr>
            <sz val="9"/>
            <color indexed="81"/>
            <rFont val="Tahoma"/>
            <family val="2"/>
          </rPr>
          <t xml:space="preserve">
</t>
        </r>
      </text>
    </comment>
    <comment ref="C586" authorId="0" shapeId="0" xr:uid="{8FE12929-2D86-4447-A39E-1EC5D3ABFEF5}">
      <text>
        <r>
          <rPr>
            <b/>
            <sz val="9"/>
            <color indexed="81"/>
            <rFont val="Tahoma"/>
            <family val="2"/>
          </rPr>
          <t>Any feedback they gave to the efforts to honor their need:</t>
        </r>
        <r>
          <rPr>
            <sz val="9"/>
            <color indexed="81"/>
            <rFont val="Tahoma"/>
            <family val="2"/>
          </rPr>
          <t xml:space="preserve">
</t>
        </r>
      </text>
    </comment>
    <comment ref="M593" authorId="0" shapeId="0" xr:uid="{D57190BB-1460-4AE0-88F2-EBA9A1B1426D}">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598" authorId="0" shapeId="0" xr:uid="{FA2CE0DE-887F-4A68-BFA7-612F8C492225}">
      <text>
        <r>
          <rPr>
            <b/>
            <sz val="9"/>
            <color indexed="27"/>
            <rFont val="Tahoma"/>
            <family val="2"/>
          </rPr>
          <t>Use the 'F-up2' tab Message Template to remind invitee to join your upcoming wellness campaign</t>
        </r>
      </text>
    </comment>
    <comment ref="E606" authorId="0" shapeId="0" xr:uid="{B8EF3321-59D8-4C54-B25C-185CE6B2B587}">
      <text>
        <r>
          <rPr>
            <b/>
            <sz val="9"/>
            <color indexed="81"/>
            <rFont val="Tahoma"/>
            <family val="2"/>
          </rPr>
          <t>context:</t>
        </r>
        <r>
          <rPr>
            <sz val="9"/>
            <color indexed="81"/>
            <rFont val="Tahoma"/>
            <family val="2"/>
          </rPr>
          <t xml:space="preserve">
</t>
        </r>
      </text>
    </comment>
    <comment ref="C609" authorId="0" shapeId="0" xr:uid="{8C32A325-A655-474E-8B5E-4747A7F1635D}">
      <text>
        <r>
          <rPr>
            <b/>
            <sz val="9"/>
            <color indexed="81"/>
            <rFont val="Tahoma"/>
            <family val="2"/>
          </rPr>
          <t>Any presenting barrier to honoring their expressed need:</t>
        </r>
        <r>
          <rPr>
            <sz val="9"/>
            <color indexed="81"/>
            <rFont val="Tahoma"/>
            <family val="2"/>
          </rPr>
          <t xml:space="preserve">
</t>
        </r>
      </text>
    </comment>
    <comment ref="C610" authorId="0" shapeId="0" xr:uid="{320534E2-FE8A-40D0-80B6-D1ABC838B333}">
      <text>
        <r>
          <rPr>
            <b/>
            <sz val="9"/>
            <color indexed="81"/>
            <rFont val="Tahoma"/>
            <family val="2"/>
          </rPr>
          <t>Any feedback they gave to the efforts to honor their need:</t>
        </r>
        <r>
          <rPr>
            <sz val="9"/>
            <color indexed="81"/>
            <rFont val="Tahoma"/>
            <family val="2"/>
          </rPr>
          <t xml:space="preserve">
</t>
        </r>
      </text>
    </comment>
    <comment ref="M617" authorId="0" shapeId="0" xr:uid="{DB2044B4-58B8-4007-8BF8-60D01874341F}">
      <text>
        <r>
          <rPr>
            <b/>
            <sz val="9"/>
            <color indexed="81"/>
            <rFont val="Tahoma"/>
            <family val="2"/>
          </rPr>
          <t>OPTIONS:</t>
        </r>
        <r>
          <rPr>
            <sz val="9"/>
            <color indexed="81"/>
            <rFont val="Tahoma"/>
            <family val="2"/>
          </rPr>
          <t xml:space="preserve">
</t>
        </r>
        <r>
          <rPr>
            <b/>
            <sz val="9"/>
            <color indexed="81"/>
            <rFont val="Tahoma"/>
            <family val="2"/>
          </rPr>
          <t>firm yes</t>
        </r>
        <r>
          <rPr>
            <sz val="9"/>
            <color indexed="81"/>
            <rFont val="Tahoma"/>
            <family val="2"/>
          </rPr>
          <t xml:space="preserve">: eager to accommodate this need
</t>
        </r>
        <r>
          <rPr>
            <b/>
            <sz val="9"/>
            <color indexed="81"/>
            <rFont val="Tahoma"/>
            <family val="2"/>
          </rPr>
          <t>soft yes</t>
        </r>
        <r>
          <rPr>
            <sz val="9"/>
            <color indexed="81"/>
            <rFont val="Tahoma"/>
            <family val="2"/>
          </rPr>
          <t xml:space="preserve">: might accommodate this need
</t>
        </r>
        <r>
          <rPr>
            <b/>
            <sz val="9"/>
            <color indexed="81"/>
            <rFont val="Tahoma"/>
            <family val="2"/>
          </rPr>
          <t>equivocal</t>
        </r>
        <r>
          <rPr>
            <sz val="9"/>
            <color indexed="81"/>
            <rFont val="Tahoma"/>
            <family val="2"/>
          </rPr>
          <t xml:space="preserve">: unsure if can accommodate
</t>
        </r>
        <r>
          <rPr>
            <b/>
            <sz val="9"/>
            <color indexed="81"/>
            <rFont val="Tahoma"/>
            <family val="2"/>
          </rPr>
          <t>soft no</t>
        </r>
        <r>
          <rPr>
            <sz val="9"/>
            <color indexed="81"/>
            <rFont val="Tahoma"/>
            <family val="2"/>
          </rPr>
          <t xml:space="preserve">: cannot accommodate at this time
</t>
        </r>
        <r>
          <rPr>
            <b/>
            <sz val="9"/>
            <color indexed="81"/>
            <rFont val="Tahoma"/>
            <family val="2"/>
          </rPr>
          <t>hard no</t>
        </r>
        <r>
          <rPr>
            <sz val="9"/>
            <color indexed="81"/>
            <rFont val="Tahoma"/>
            <family val="2"/>
          </rPr>
          <t xml:space="preserve">: will not accommodate this need at all
</t>
        </r>
        <r>
          <rPr>
            <b/>
            <sz val="9"/>
            <color indexed="81"/>
            <rFont val="Tahoma"/>
            <family val="2"/>
          </rPr>
          <t>no response</t>
        </r>
      </text>
    </comment>
    <comment ref="F622" authorId="0" shapeId="0" xr:uid="{B52842E0-2665-407C-92FC-B7F671F30058}">
      <text>
        <r>
          <rPr>
            <b/>
            <sz val="9"/>
            <color indexed="27"/>
            <rFont val="Tahoma"/>
            <family val="2"/>
          </rPr>
          <t>Use the 'F-up2' tab Message Template to remind invitee to join your upcoming wellness campaign</t>
        </r>
      </text>
    </comment>
    <comment ref="BB1031" authorId="0" shapeId="0" xr:uid="{CE35CED0-4B62-45FA-BE79-DBAF913F0000}">
      <text>
        <r>
          <rPr>
            <b/>
            <sz val="9"/>
            <color indexed="42"/>
            <rFont val="Tahoma"/>
            <family val="2"/>
          </rPr>
          <t>wellness goal:</t>
        </r>
      </text>
    </comment>
    <comment ref="AJ1034" authorId="0" shapeId="0" xr:uid="{A343D978-8F4D-4A6C-BEAE-182834666A60}">
      <text>
        <r>
          <rPr>
            <b/>
            <sz val="9"/>
            <color indexed="42"/>
            <rFont val="Tahoma"/>
            <family val="2"/>
          </rPr>
          <t>wellness goal: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 Turner</author>
  </authors>
  <commentList>
    <comment ref="N20" authorId="0" shapeId="0" xr:uid="{4D218A9D-5884-43FA-9909-8A9E7CBED9B4}">
      <text>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<sst xmlns="http://schemas.openxmlformats.org/spreadsheetml/2006/main" count="1727" uniqueCount="440">
  <si>
    <t xml:space="preserve"> invitation attracts the most responsiveness.</t>
  </si>
  <si>
    <t xml:space="preserve">Your </t>
  </si>
  <si>
    <t>Together with a wellness campaign, we can sustain such responsiveness.</t>
  </si>
  <si>
    <t/>
  </si>
  <si>
    <t>Ouch. You've yet to gain some traction. We can improve other's responsiveness to you in your own wellness campaign. Shall we keep going?</t>
  </si>
  <si>
    <t>Good. You've earned some encouraging responsiveness. We can improve it in your own wellness campaign. So let's keep going.</t>
  </si>
  <si>
    <t>Great! You've enjoyed high responsiveness. Your chances of a successful wellness campaign looks strong. Let's keep going.</t>
  </si>
  <si>
    <t>Awesome! You received perfect responsiveness. Your chances of a successful wellness campaign seems assured. Let's keep going.</t>
  </si>
  <si>
    <t xml:space="preserve">%. </t>
  </si>
  <si>
    <t>firm no</t>
  </si>
  <si>
    <t>soft no</t>
  </si>
  <si>
    <t>video</t>
  </si>
  <si>
    <t>equivocal</t>
  </si>
  <si>
    <t>professional contact</t>
  </si>
  <si>
    <t>meme</t>
  </si>
  <si>
    <t>soft yes</t>
  </si>
  <si>
    <t>personal contact</t>
  </si>
  <si>
    <t>card</t>
  </si>
  <si>
    <t>firm yes</t>
  </si>
  <si>
    <t>No.</t>
  </si>
  <si>
    <t>Responsive Score</t>
  </si>
  <si>
    <t>no reply</t>
  </si>
  <si>
    <t>Date sent</t>
  </si>
  <si>
    <t>Reply date</t>
  </si>
  <si>
    <t>Follow-up sent</t>
  </si>
  <si>
    <t>timely reply</t>
  </si>
  <si>
    <t>yes</t>
  </si>
  <si>
    <t>no</t>
  </si>
  <si>
    <t>NA</t>
  </si>
  <si>
    <t>Response</t>
  </si>
  <si>
    <t>replied</t>
  </si>
  <si>
    <t>best friend</t>
  </si>
  <si>
    <t>casual acquaintance</t>
  </si>
  <si>
    <t>classmate</t>
  </si>
  <si>
    <t>close family</t>
  </si>
  <si>
    <t>coworker</t>
  </si>
  <si>
    <t>distant family</t>
  </si>
  <si>
    <t>fiancé</t>
  </si>
  <si>
    <t>housemate</t>
  </si>
  <si>
    <t>neighbor</t>
  </si>
  <si>
    <t>OTHER</t>
  </si>
  <si>
    <t>personal colleague</t>
  </si>
  <si>
    <t>personal friend</t>
  </si>
  <si>
    <t>roommate</t>
  </si>
  <si>
    <t>social contact</t>
  </si>
  <si>
    <t>social media friend</t>
  </si>
  <si>
    <t>spouse</t>
  </si>
  <si>
    <t>subordinate</t>
  </si>
  <si>
    <t>supervisor</t>
  </si>
  <si>
    <t>annoyed</t>
  </si>
  <si>
    <t>curious</t>
  </si>
  <si>
    <t>defensive</t>
  </si>
  <si>
    <t>distrustful</t>
  </si>
  <si>
    <t>encouraged</t>
  </si>
  <si>
    <t>enthusiastic</t>
  </si>
  <si>
    <t>inspired</t>
  </si>
  <si>
    <t>irritable</t>
  </si>
  <si>
    <t>Other</t>
  </si>
  <si>
    <t>resistant</t>
  </si>
  <si>
    <t>silent</t>
  </si>
  <si>
    <t>surprised</t>
  </si>
  <si>
    <t>suspicious</t>
  </si>
  <si>
    <t>thrilled</t>
  </si>
  <si>
    <t>unready</t>
  </si>
  <si>
    <t>already expressed a need</t>
  </si>
  <si>
    <t>no intention of expressing a need</t>
  </si>
  <si>
    <t>other</t>
  </si>
  <si>
    <t>no urgency</t>
  </si>
  <si>
    <t>low urgency</t>
  </si>
  <si>
    <t>moderate urgency</t>
  </si>
  <si>
    <t>high urgency</t>
  </si>
  <si>
    <t>unknown urgency</t>
  </si>
  <si>
    <t>urgency:</t>
  </si>
  <si>
    <t>reply window:</t>
  </si>
  <si>
    <t>expressed a need immediately</t>
  </si>
  <si>
    <t>needs time to think of a need</t>
  </si>
  <si>
    <t>fully appreciated</t>
  </si>
  <si>
    <t>moderately appreciated</t>
  </si>
  <si>
    <t>somewhat disappointed</t>
  </si>
  <si>
    <t>completely disappointed</t>
  </si>
  <si>
    <t>neither appreciate nor disappoint</t>
  </si>
  <si>
    <t>unknown</t>
  </si>
  <si>
    <t>fully receptive</t>
  </si>
  <si>
    <t>moderately receptive</t>
  </si>
  <si>
    <t>neither receptive nor dismissive</t>
  </si>
  <si>
    <t>somewhat dismissive</t>
  </si>
  <si>
    <t>completely dismissive</t>
  </si>
  <si>
    <t>P</t>
  </si>
  <si>
    <t>N</t>
  </si>
  <si>
    <t>Thank you for …</t>
  </si>
  <si>
    <t>Let's continue to …</t>
  </si>
  <si>
    <t>RS1</t>
  </si>
  <si>
    <t>RS2</t>
  </si>
  <si>
    <t>RS3</t>
  </si>
  <si>
    <t>RS4</t>
  </si>
  <si>
    <t>Total</t>
  </si>
  <si>
    <t xml:space="preserve">Target wellness goal: </t>
  </si>
  <si>
    <t>in person</t>
  </si>
  <si>
    <t>SMS</t>
  </si>
  <si>
    <t>snail mail</t>
  </si>
  <si>
    <t>social media PM</t>
  </si>
  <si>
    <t>social media post</t>
  </si>
  <si>
    <t>video call</t>
  </si>
  <si>
    <t>utmost urgency</t>
  </si>
  <si>
    <t>Contact category</t>
  </si>
  <si>
    <t>How known</t>
  </si>
  <si>
    <t>Contact format</t>
  </si>
  <si>
    <t>Invited how</t>
  </si>
  <si>
    <t>D</t>
  </si>
  <si>
    <t>A</t>
  </si>
  <si>
    <t>B</t>
  </si>
  <si>
    <t>C</t>
  </si>
  <si>
    <t>count</t>
  </si>
  <si>
    <t>days</t>
  </si>
  <si>
    <t>how invited</t>
  </si>
  <si>
    <t>Responsiveness Report</t>
  </si>
  <si>
    <t>Go to our Engagement Forum to discuss with others what you could do to improve.</t>
  </si>
  <si>
    <t xml:space="preserve">You may find more success naming someone to serve as your proxy. </t>
  </si>
  <si>
    <t xml:space="preserve">Sorry this didn't work out for you. Go to our Engagement Forum to explore your options. </t>
  </si>
  <si>
    <t xml:space="preserve">Go ahead and sign up today. With our 14-day trial, your first two weeks are free! </t>
  </si>
  <si>
    <t xml:space="preserve">You can decide whether to proceed or not. </t>
  </si>
  <si>
    <t xml:space="preserve">Your current chances for a successful wellness campaign looks promising. </t>
  </si>
  <si>
    <t xml:space="preserve">Your current chances for a successful wellness campaign looks hopeful. </t>
  </si>
  <si>
    <t xml:space="preserve">Your current chances for a successful wellness campaign needs some work. </t>
  </si>
  <si>
    <t xml:space="preserve">Your current chances for a successful wellness campaign looks bleak. </t>
  </si>
  <si>
    <t xml:space="preserve">Your current chances for a successful wellness campaign seems unlikely. </t>
  </si>
  <si>
    <t>Wellness Campaign</t>
  </si>
  <si>
    <t>Engagement Forum</t>
  </si>
  <si>
    <t>Pick the top twenty names you can brainstorm. Send each your INVITATION to join your wellness campaign. Use this form below to document their name, which list they're from, and their responsiveness level to your invitation. Then check the report below.</t>
  </si>
  <si>
    <t>Your responsiveness scores</t>
  </si>
  <si>
    <r>
      <rPr>
        <b/>
        <sz val="28"/>
        <color rgb="FF73FFAF"/>
        <rFont val="Arial Black"/>
        <family val="2"/>
      </rPr>
      <t>Anankelogy</t>
    </r>
    <r>
      <rPr>
        <b/>
        <sz val="28"/>
        <color rgb="FFDCC8EB"/>
        <rFont val="Arial Black"/>
        <family val="2"/>
      </rPr>
      <t xml:space="preserve"> Foundation</t>
    </r>
  </si>
  <si>
    <r>
      <t xml:space="preserve">The more needs you can resolve with this engaging introductory process, the greater your chances for a successful </t>
    </r>
    <r>
      <rPr>
        <b/>
        <sz val="15"/>
        <color rgb="FF7DFFBE"/>
        <rFont val="Arial"/>
        <family val="2"/>
      </rPr>
      <t>wellness campaign</t>
    </r>
    <r>
      <rPr>
        <sz val="15"/>
        <color theme="0" tint="-4.9989318521683403E-2"/>
        <rFont val="Arial"/>
        <family val="2"/>
      </rPr>
      <t>. The more this love-centered process results in resolved needs, the more you earn the legitimacy to speak truth to power.</t>
    </r>
  </si>
  <si>
    <t>urgency</t>
  </si>
  <si>
    <t>response</t>
  </si>
  <si>
    <t>Wellness goal:</t>
  </si>
  <si>
    <r>
      <rPr>
        <b/>
        <sz val="14"/>
        <color theme="1"/>
        <rFont val="Arial"/>
        <family val="2"/>
      </rPr>
      <t>Aim</t>
    </r>
    <r>
      <rPr>
        <sz val="14"/>
        <color theme="1"/>
        <rFont val="Arial"/>
        <family val="2"/>
      </rPr>
      <t>: To introduce your wellness campaign to your most engaging contacts, inviting them to support your wellness goal.</t>
    </r>
  </si>
  <si>
    <r>
      <rPr>
        <b/>
        <sz val="12"/>
        <color theme="1"/>
        <rFont val="Arial"/>
        <family val="2"/>
      </rPr>
      <t>INVITE</t>
    </r>
    <r>
      <rPr>
        <sz val="12"/>
        <color theme="1"/>
        <rFont val="Arial"/>
        <family val="2"/>
      </rPr>
      <t>: Offer your social network the opportunity to express a need you can serve.</t>
    </r>
  </si>
  <si>
    <r>
      <rPr>
        <b/>
        <sz val="12"/>
        <color theme="1"/>
        <rFont val="Arial"/>
        <family val="2"/>
      </rPr>
      <t>ASSESS</t>
    </r>
    <r>
      <rPr>
        <sz val="12"/>
        <color theme="1"/>
        <rFont val="Arial"/>
        <family val="2"/>
      </rPr>
      <t>: Evaluate their responsiveness to your invitation, both their level of cooperation and how long to reply.</t>
    </r>
  </si>
  <si>
    <r>
      <rPr>
        <b/>
        <sz val="12"/>
        <color theme="1"/>
        <rFont val="Arial"/>
        <family val="2"/>
      </rPr>
      <t>AUDIT</t>
    </r>
    <r>
      <rPr>
        <sz val="12"/>
        <color theme="1"/>
        <rFont val="Arial"/>
        <family val="2"/>
      </rPr>
      <t>: Check how meaningful to them is this served need.</t>
    </r>
  </si>
  <si>
    <r>
      <rPr>
        <b/>
        <sz val="12"/>
        <color theme="1"/>
        <rFont val="Arial"/>
        <family val="2"/>
      </rPr>
      <t>AVOW</t>
    </r>
    <r>
      <rPr>
        <sz val="12"/>
        <color theme="1"/>
        <rFont val="Arial"/>
        <family val="2"/>
      </rPr>
      <t>: You bodly demonstrate your commitment to resolve needs over the norm of merely easing their discomfort.</t>
    </r>
  </si>
  <si>
    <r>
      <rPr>
        <b/>
        <sz val="14"/>
        <color theme="1"/>
        <rFont val="Arial"/>
        <family val="2"/>
      </rPr>
      <t>Aim</t>
    </r>
    <r>
      <rPr>
        <sz val="14"/>
        <color theme="1"/>
        <rFont val="Arial"/>
        <family val="2"/>
      </rPr>
      <t>: To deliver to others the meaningful experience of having their overlooked needs identified and increasingly more satisfied.</t>
    </r>
  </si>
  <si>
    <r>
      <rPr>
        <b/>
        <sz val="14"/>
        <color theme="1"/>
        <rFont val="Arial"/>
        <family val="2"/>
      </rPr>
      <t>Aim</t>
    </r>
    <r>
      <rPr>
        <sz val="14"/>
        <color theme="1"/>
        <rFont val="Arial"/>
        <family val="2"/>
      </rPr>
      <t>: To establish a love-based reciprocity for each other's needs with this engaging process for nuturing mutual respect.</t>
    </r>
  </si>
  <si>
    <r>
      <rPr>
        <b/>
        <sz val="14"/>
        <color theme="1"/>
        <rFont val="Arial"/>
        <family val="2"/>
      </rPr>
      <t>Aim</t>
    </r>
    <r>
      <rPr>
        <sz val="14"/>
        <color theme="1"/>
        <rFont val="Arial"/>
        <family val="2"/>
      </rPr>
      <t>: To begin attracting others into need-responsiveness by first being more demonstrably responsive to their needs.</t>
    </r>
  </si>
  <si>
    <r>
      <rPr>
        <b/>
        <sz val="12"/>
        <color theme="1"/>
        <rFont val="Arial"/>
        <family val="2"/>
      </rPr>
      <t>ALERT</t>
    </r>
    <r>
      <rPr>
        <sz val="12"/>
        <color theme="1"/>
        <rFont val="Arial"/>
        <family val="2"/>
      </rPr>
      <t>: You start addressing each of their expressed needs. You note any challenges along the way.</t>
    </r>
  </si>
  <si>
    <r>
      <rPr>
        <b/>
        <sz val="12"/>
        <color theme="1"/>
        <rFont val="Arial"/>
        <family val="2"/>
      </rPr>
      <t>ASSESS</t>
    </r>
    <r>
      <rPr>
        <sz val="12"/>
        <color theme="1"/>
        <rFont val="Arial"/>
        <family val="2"/>
      </rPr>
      <t>: You ask them to say how satisfied they are with your efforts to respect their needs.</t>
    </r>
  </si>
  <si>
    <r>
      <rPr>
        <b/>
        <sz val="12"/>
        <color theme="1"/>
        <rFont val="Arial"/>
        <family val="2"/>
      </rPr>
      <t>AUDIT</t>
    </r>
    <r>
      <rPr>
        <sz val="12"/>
        <color theme="1"/>
        <rFont val="Arial"/>
        <family val="2"/>
      </rPr>
      <t>: You note their emotional response, which either aligns or diverges from their expressed satisfaction.</t>
    </r>
  </si>
  <si>
    <r>
      <rPr>
        <b/>
        <sz val="12"/>
        <color theme="1"/>
        <rFont val="Arial"/>
        <family val="2"/>
      </rPr>
      <t>AVOW</t>
    </r>
    <r>
      <rPr>
        <sz val="12"/>
        <color theme="1"/>
        <rFont val="Arial"/>
        <family val="2"/>
      </rPr>
      <t>: You demonstrate your commitment to resolve needs despite any challenges in the way.</t>
    </r>
  </si>
  <si>
    <r>
      <rPr>
        <b/>
        <sz val="12"/>
        <color theme="1"/>
        <rFont val="Arial"/>
        <family val="2"/>
      </rPr>
      <t>ALERT</t>
    </r>
    <r>
      <rPr>
        <sz val="12"/>
        <color theme="1"/>
        <rFont val="Arial"/>
        <family val="2"/>
      </rPr>
      <t xml:space="preserve">: Now you share your own simple need that they can honor in return, to grow mutual respect. </t>
    </r>
  </si>
  <si>
    <r>
      <rPr>
        <b/>
        <sz val="12"/>
        <color theme="1"/>
        <rFont val="Arial"/>
        <family val="2"/>
      </rPr>
      <t>ASSESS</t>
    </r>
    <r>
      <rPr>
        <sz val="12"/>
        <color theme="1"/>
        <rFont val="Arial"/>
        <family val="2"/>
      </rPr>
      <t>: You assess how receptive they are to this shift to mutuality. Seems to quid pro quo? Do they drop out?</t>
    </r>
  </si>
  <si>
    <r>
      <rPr>
        <b/>
        <sz val="12"/>
        <color theme="1"/>
        <rFont val="Arial"/>
        <family val="2"/>
      </rPr>
      <t>AUDIT</t>
    </r>
    <r>
      <rPr>
        <sz val="12"/>
        <color theme="1"/>
        <rFont val="Arial"/>
        <family val="2"/>
      </rPr>
      <t>: You check how responsive they are to your expressed need, and note any challenges they face.</t>
    </r>
  </si>
  <si>
    <r>
      <rPr>
        <b/>
        <sz val="12"/>
        <color theme="1"/>
        <rFont val="Arial"/>
        <family val="2"/>
      </rPr>
      <t>AVOW</t>
    </r>
    <r>
      <rPr>
        <sz val="12"/>
        <color theme="1"/>
        <rFont val="Arial"/>
        <family val="2"/>
      </rPr>
      <t>: You continue prioritizing fully resolving needs, encouraging others to not settle for mere pain relief.</t>
    </r>
  </si>
  <si>
    <r>
      <rPr>
        <b/>
        <sz val="12"/>
        <color theme="1"/>
        <rFont val="Arial"/>
        <family val="2"/>
      </rPr>
      <t>INVITE</t>
    </r>
    <r>
      <rPr>
        <sz val="12"/>
        <color theme="1"/>
        <rFont val="Arial"/>
        <family val="2"/>
      </rPr>
      <t>: You invite those sufficiently responsive to help you address your wellness goal in your upcoming wellness campaign.</t>
    </r>
  </si>
  <si>
    <r>
      <rPr>
        <b/>
        <sz val="12"/>
        <color theme="1"/>
        <rFont val="Arial"/>
        <family val="2"/>
      </rPr>
      <t>ASSESS</t>
    </r>
    <r>
      <rPr>
        <sz val="12"/>
        <color theme="1"/>
        <rFont val="Arial"/>
        <family val="2"/>
      </rPr>
      <t>: You again evaluate their responsiveness to your invitation and how long to reply.</t>
    </r>
  </si>
  <si>
    <r>
      <rPr>
        <b/>
        <sz val="12"/>
        <color theme="1"/>
        <rFont val="Arial"/>
        <family val="2"/>
      </rPr>
      <t>AUDIT</t>
    </r>
    <r>
      <rPr>
        <sz val="12"/>
        <color theme="1"/>
        <rFont val="Arial"/>
        <family val="2"/>
      </rPr>
      <t>: You identify their level of commitment by what level they join your campaign: follower, supporter, patron.</t>
    </r>
  </si>
  <si>
    <r>
      <rPr>
        <b/>
        <sz val="12"/>
        <color theme="1"/>
        <rFont val="Arial"/>
        <family val="2"/>
      </rPr>
      <t>AVOW</t>
    </r>
    <r>
      <rPr>
        <sz val="12"/>
        <color theme="1"/>
        <rFont val="Arial"/>
        <family val="2"/>
      </rPr>
      <t>: You reinforce your commitment to resolve needs when launching your own wellness campaign.</t>
    </r>
  </si>
  <si>
    <t>I need you to ...</t>
  </si>
  <si>
    <t>I need you to …</t>
  </si>
  <si>
    <t>Establish greater legitimacy one step at a time by using this cyclic process.</t>
  </si>
  <si>
    <t>Invitee first name</t>
  </si>
  <si>
    <t>Invitee last name</t>
  </si>
  <si>
    <t>ASSESS: warmup cycle B</t>
  </si>
  <si>
    <t>INVITE: warmup cycle A</t>
  </si>
  <si>
    <t>AUDIT: warmup cycle C</t>
  </si>
  <si>
    <t>AVOW: warmup cycle D</t>
  </si>
  <si>
    <t xml:space="preserve">Thank you, </t>
  </si>
  <si>
    <t>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t>
  </si>
  <si>
    <t>I now invite you to support me in my full wellness campaign. I am growing a team to help me address my larger wellness goal:</t>
  </si>
  <si>
    <t>Your support can increas my chances for success. And can help you see if this wellness approach is something you could use to reach such a lofty goal in your life.</t>
  </si>
  <si>
    <t>You start out as a "follower" for free. Later, you're offered the option to upgrade as a "patron" for just $50/month. Or upgrade as a "supporter" for only $25/month. Or stay as a follower for free. The more involved, the more you can get out of this campaign for yourself.</t>
  </si>
  <si>
    <t xml:space="preserve">Think about it for a while. I will get back to you when you're ready to decide to be more need-responsive and pursue greater wellness along with me. Thank you, </t>
  </si>
  <si>
    <t>, for everything.</t>
  </si>
  <si>
    <t>CHOOSE A NAME FROM THE DROPDOWN LIST.</t>
  </si>
  <si>
    <t>BE SURE YOU LET THEM KNOW YOUR WELLNESS GOAL.</t>
  </si>
  <si>
    <t>NEXT</t>
  </si>
  <si>
    <t xml:space="preserve">Join my Wellness Campaign </t>
  </si>
  <si>
    <t>Building your support team</t>
  </si>
  <si>
    <t>Saving each message as a PDF</t>
  </si>
  <si>
    <t>View the message below. It's no cost to them since they all start for free as a follower to your campaign. Click on the bold green text to switch to the 'invite' tab to print the message. Or you can save that message as a PDF using Excel 'Save As' options.</t>
  </si>
  <si>
    <t>To save each separate message to your invitees, click 'File' above and then select 'Save As' in the dropdown menu. Click 'Browse' to open the 'Save as' dialog box.</t>
  </si>
  <si>
    <t>After opending the 'Save as' dialog box, look below the 'File name:' field box for the 'Save as type:' field box. Click on the "Excel Workbook" in this lower field and then scroll down near the bottom of this list. Look for the "PDF" option and click it.</t>
  </si>
  <si>
    <t>this dropdown list remains blank until you start filling in the form above</t>
  </si>
  <si>
    <t>GO TO THE ''invite'' TAB TO PRINT THIS OUT</t>
  </si>
  <si>
    <t xml:space="preserve">My responsiveness score is based on your responsiveness along with all the others I invited to my warmup exercise. Here is how your "responsiveness rating" of </t>
  </si>
  <si>
    <t>% was calculated.</t>
  </si>
  <si>
    <t xml:space="preserve">You responded to my invitation to express a need with a </t>
  </si>
  <si>
    <t xml:space="preserve"> = </t>
  </si>
  <si>
    <t xml:space="preserve">%. Your expressed need seemed to have </t>
  </si>
  <si>
    <t xml:space="preserve"> for you = </t>
  </si>
  <si>
    <t xml:space="preserve">%. You took </t>
  </si>
  <si>
    <t xml:space="preserve"> + </t>
  </si>
  <si>
    <t>%.</t>
  </si>
  <si>
    <t xml:space="preserve"> to respond</t>
  </si>
  <si>
    <t xml:space="preserve"> — </t>
  </si>
  <si>
    <t xml:space="preserve">You seemed </t>
  </si>
  <si>
    <t xml:space="preserve">to have </t>
  </si>
  <si>
    <t xml:space="preserve">to be </t>
  </si>
  <si>
    <t xml:space="preserve"> of my </t>
  </si>
  <si>
    <t xml:space="preserve"> my </t>
  </si>
  <si>
    <t xml:space="preserve">efforts to serve your expressed need = </t>
  </si>
  <si>
    <t xml:space="preserve">I never learned if you appreciated my efforts. So there was no responsiveness here to score. </t>
  </si>
  <si>
    <t xml:space="preserve"> to respecting my expressed need = </t>
  </si>
  <si>
    <t xml:space="preserve"> average = </t>
  </si>
  <si>
    <t xml:space="preserve">%. You seemed </t>
  </si>
  <si>
    <t>no response</t>
  </si>
  <si>
    <t>cannot accommodate my need at this time</t>
  </si>
  <si>
    <t>eager to accommodate my expressed need</t>
  </si>
  <si>
    <t>might accommodate my expressed need</t>
  </si>
  <si>
    <t>will not accommodate my need at all</t>
  </si>
  <si>
    <t>cannot answer if accommodating my need</t>
  </si>
  <si>
    <t>unsure if you can accommodate my need</t>
  </si>
  <si>
    <t>In my wellness campaign, we will test the responsiveness of those in authority to our needs. I look forward to your support. Along the way, you could see how to incentivize authority figures to be more responsive to your needs. So please join my wellness campaign today.</t>
  </si>
  <si>
    <t>Of course, this isn't a scientifically valid way to evaluate responsiveness to needs. But this is a good start to measure our responsiveness to one another. "What gets measured tends to get done." Let's take this to the next level to speak truth to power.</t>
  </si>
  <si>
    <t xml:space="preserve">You responded to my invitation to support my wellness campaign with a </t>
  </si>
  <si>
    <t xml:space="preserve">Your initial responsiveness to express a need I can serve: </t>
  </si>
  <si>
    <t xml:space="preserve">%, plus your appreciation level to my efforts: </t>
  </si>
  <si>
    <t xml:space="preserve">%, plus your receptivity to my shared need: </t>
  </si>
  <si>
    <t xml:space="preserve">%, plus your responsiveness to supporting my wellness goal: </t>
  </si>
  <si>
    <t xml:space="preserve">%, divided by four to average </t>
  </si>
  <si>
    <t>%. Great!</t>
  </si>
  <si>
    <t xml:space="preserve">, for participating in my wellness warmup exercise. Your preliminary responsiveness to needs scored </t>
  </si>
  <si>
    <t>Make sure you have a reply date for each invitee so we can calculate your readiness for a wellness campaign.</t>
  </si>
  <si>
    <t>EXPRESS YOUR NEED TO THEM</t>
  </si>
  <si>
    <t>DATE:</t>
  </si>
  <si>
    <t>FROM:</t>
  </si>
  <si>
    <t>TO:</t>
  </si>
  <si>
    <t>SUBJECT:</t>
  </si>
  <si>
    <t>NEG-NEED</t>
  </si>
  <si>
    <t>POZ-AFFIRM</t>
  </si>
  <si>
    <t>POZ-KEEP</t>
  </si>
  <si>
    <t>POZ:</t>
  </si>
  <si>
    <t>NEG</t>
  </si>
  <si>
    <t>Expressing a need of mine you can respect</t>
  </si>
  <si>
    <t>Thank you for offering to respect my need</t>
  </si>
  <si>
    <t>Now offering you opportunity to respect my need</t>
  </si>
  <si>
    <t>You need me, and I need you</t>
  </si>
  <si>
    <t>This is not some "quid pro quo" arrangement. I will still respect your expressed need regardless of your respect for my expressed need.</t>
  </si>
  <si>
    <t>This aims to cultivate mutual respect for each other's needs. Instead of waiting for each other to know what we need, it opens a dialogue to communicate those needs.</t>
  </si>
  <si>
    <t>Do keep in mind…</t>
  </si>
  <si>
    <t>This ultimately has less to do with the expressed needs themselves and more to do with encouraging our potential to be more giving and loving toward each others.</t>
  </si>
  <si>
    <t>Together, we can spread more love!</t>
  </si>
  <si>
    <t>FOLLOW-UP</t>
  </si>
  <si>
    <t>RATE MY EFFORTS</t>
  </si>
  <si>
    <t>REPLY 1</t>
  </si>
  <si>
    <t xml:space="preserve">On </t>
  </si>
  <si>
    <t xml:space="preserve">, I invited you to express a need I could serve. </t>
  </si>
  <si>
    <t>/</t>
  </si>
  <si>
    <t xml:space="preserve">Now </t>
  </si>
  <si>
    <t xml:space="preserve"> later, I am following up on this invitation. What can I do for you?</t>
  </si>
  <si>
    <t>simple, not complicated</t>
  </si>
  <si>
    <t>easy, not too challenging</t>
  </si>
  <si>
    <t>brief, won't take too long</t>
  </si>
  <si>
    <t>specific, not too vague for me to do</t>
  </si>
  <si>
    <t>actionable, that I can actually do it for you</t>
  </si>
  <si>
    <t>meaningful, that it satifies an actual need you have</t>
  </si>
  <si>
    <t xml:space="preserve">For example, </t>
  </si>
  <si>
    <t xml:space="preserve">give you a complement, </t>
  </si>
  <si>
    <t xml:space="preserve">offer you an apology, </t>
  </si>
  <si>
    <t xml:space="preserve">thank you for something you did for me, </t>
  </si>
  <si>
    <t xml:space="preserve">listen to you vent about something you found frustrating, </t>
  </si>
  <si>
    <t xml:space="preserve">help you carry something, </t>
  </si>
  <si>
    <t xml:space="preserve">remind me to not taking something too personal, </t>
  </si>
  <si>
    <t xml:space="preserve">or anything like these that I can now do for you. </t>
  </si>
  <si>
    <t xml:space="preserve">You could state a need I am already serving. If you need a little more time to think up a need, I can wait. Later, I will have you hold me accountable by asking you how well I served your need. </t>
  </si>
  <si>
    <t xml:space="preserve">This is for you, </t>
  </si>
  <si>
    <t>Remember to try to keep your expressed need…</t>
  </si>
  <si>
    <t xml:space="preserve">.  </t>
  </si>
  <si>
    <t xml:space="preserve">, </t>
  </si>
  <si>
    <t>Your name:</t>
  </si>
  <si>
    <t xml:space="preserve">encourage you to face something challenging, </t>
  </si>
  <si>
    <t>, to offer you opportunity to improve a little something in your life. While this can improve my responsiveness to your needs and to the needs of others. Thank you for affording me this opportunity to do this for you.</t>
  </si>
  <si>
    <t>BE SURE TO GIVE THIS MESSAGE AN APT TITLE</t>
  </si>
  <si>
    <t>SELECT A RECIPIENT TO CREATE THIS FOLLOW-UP MESSAGE TO THEM</t>
  </si>
  <si>
    <t>Follow-up invitation to express your need to me</t>
  </si>
  <si>
    <t>sufficiently satisfied</t>
  </si>
  <si>
    <t>neither satisfied nor dissatisfied</t>
  </si>
  <si>
    <t>Rate my efforts</t>
  </si>
  <si>
    <t>Assess my impact</t>
  </si>
  <si>
    <t>How did I do?</t>
  </si>
  <si>
    <t>Thank you for your feedback</t>
  </si>
  <si>
    <t>By letting me help you, you are helping me to become more need-responsive. I learn to rely less on impersonal rules and personally engage others what they need of me.</t>
  </si>
  <si>
    <t>If you could also let me know how meaningful this need is or was for you. Please note the level of urgency this need had for you.</t>
  </si>
  <si>
    <t>If I do not hear back from you soon, I will assess for myself how satisfied you seemed to be with my efforts. And how apparently urgent this need seemed to be for you.</t>
  </si>
  <si>
    <t>The more we personally relate to each other's needs, the better life can be for us all. I look forward to giving you opportunity to better relate to my needs.</t>
  </si>
  <si>
    <t>Thank you for expressing a need I could serve. Now I invite you to hold me accountable by telling me how well I satisfied your shared need.</t>
  </si>
  <si>
    <t>, for expressing a need I could serve. Now I invite you to hold me accountable by telling me how well I satisfied your shared need.</t>
  </si>
  <si>
    <t>Thank you for your feedback. I wish to make this experience as good for you as it is for me. Again, thank you.</t>
  </si>
  <si>
    <t>SELECT AN INVITEE TO SEND THIS MESSAGE TO</t>
  </si>
  <si>
    <t xml:space="preserve">Your responsiveness among personal contacts </t>
  </si>
  <si>
    <t xml:space="preserve"> Your responsiveness from professional contacts is </t>
  </si>
  <si>
    <t>Or you can ask me about my evolving wellness goal.</t>
  </si>
  <si>
    <t>At the moment, my wellness goal is still evolving.</t>
  </si>
  <si>
    <t>My goal may change after I realize my true aim in life.</t>
  </si>
  <si>
    <t>Sentence 1</t>
  </si>
  <si>
    <t>Sentence 2</t>
  </si>
  <si>
    <t>Sentence 3</t>
  </si>
  <si>
    <t>Sentence 4</t>
  </si>
  <si>
    <t>Sentence 5</t>
  </si>
  <si>
    <t>Sentence 6</t>
  </si>
  <si>
    <t>Sentence 7</t>
  </si>
  <si>
    <t>Together, let's spread the love of respecting one another's needs!</t>
  </si>
  <si>
    <t>, for your feedback. I wish to make this experience as good for you as it is for me. And I look forward to hearing back from you soon. Again, thank you.</t>
  </si>
  <si>
    <t>I welcome your critique</t>
  </si>
  <si>
    <t>ASSESS MY IMPACT</t>
  </si>
  <si>
    <t>HOW DID I DO?</t>
  </si>
  <si>
    <t>HOLD ME ACCOUNTABLE</t>
  </si>
  <si>
    <t>I WELCOME YOUR CRITIQUE</t>
  </si>
  <si>
    <t>THANKS FOR YOUR FEEDBACK</t>
  </si>
  <si>
    <t>Hold me accountable</t>
  </si>
  <si>
    <t>I need your feedback</t>
  </si>
  <si>
    <t>Please contact me so I can start responding to your shared need. I look forward to this opportunity to serve you!</t>
  </si>
  <si>
    <t>Together, let's spread the love of respecting each other's needs!</t>
  </si>
  <si>
    <t>REMINDER: I patiently await your expressed need</t>
  </si>
  <si>
    <t>REMINDER: I still await you to express a need I can serve</t>
  </si>
  <si>
    <t>If you cannot provide a need for me to serve, I will have to move on</t>
  </si>
  <si>
    <t>Thank you for agreeing to share a need I can serve</t>
  </si>
  <si>
    <t>If you require more time then I understand</t>
  </si>
  <si>
    <t>I recently invited you to tell me a need of yours that I can serve.</t>
  </si>
  <si>
    <t>Today, I am following up on this invitation. What can I do for you?</t>
  </si>
  <si>
    <t>Together, we can spread more love of mutual respect!</t>
  </si>
  <si>
    <t>Ready to make this mutual?</t>
  </si>
  <si>
    <t>Let's spread the love of mutual respect for our needs</t>
  </si>
  <si>
    <t>Thank you for participating in my wellness warmup exercise. This is all about keeping each other accountably responsive to each other's needs.</t>
  </si>
  <si>
    <t>Join my Wellness Campaign</t>
  </si>
  <si>
    <t>not</t>
  </si>
  <si>
    <t>SEE HOW YOU BOTH SCORED AFTER COMPLETING ALL STEPS</t>
  </si>
  <si>
    <t>Thank you,</t>
  </si>
  <si>
    <t>PROGRESS LINES</t>
  </si>
  <si>
    <t>A1</t>
  </si>
  <si>
    <t>A2</t>
  </si>
  <si>
    <t>A3</t>
  </si>
  <si>
    <t>A4</t>
  </si>
  <si>
    <t>A5</t>
  </si>
  <si>
    <t>A6</t>
  </si>
  <si>
    <t>A7</t>
  </si>
  <si>
    <t>A8</t>
  </si>
  <si>
    <t>A9</t>
  </si>
  <si>
    <t>A10</t>
  </si>
  <si>
    <t>TODAY:</t>
  </si>
  <si>
    <t>Start inviting your social contacts to grow your support team. Invite your friends and family members. Inspire them by first addressing a need of theirs that you can serve.</t>
  </si>
  <si>
    <t>Together with a wellness campaign, we can improve your responsiveness.</t>
  </si>
  <si>
    <t>When ready, start selecting the more responsive invitees to your wellness campaign. The higher their responsive score, the greater the likelihood they can help your wellness campaign succeed.</t>
  </si>
  <si>
    <t xml:space="preserve">Use our message templates to follow up. Respond to their need for time to express a need to you. After addressing their shared need, ask them how well you did using the provided "rate me" message. </t>
  </si>
  <si>
    <t>Cultivate their reciprocity with the "PNP" messsage template. When reaching the final step, "invite" them to join your upcoming wellness campaign. It's no cost to them since they all start for free as a follower to your campaign.</t>
  </si>
  <si>
    <t>Click in the 'File name:' field box. Type the invitee's name. (You can go with the "Minimize size" option.) Click the 'Save' button at the bottom right. Go through these steps each time you change the recipient name from the dropdown list in each message template.</t>
  </si>
  <si>
    <t>Message templates</t>
  </si>
  <si>
    <t>Use these buttons below to go to that message template tab.</t>
  </si>
  <si>
    <t>ENGAGEMENT FORUM: Answers &amp; Questions</t>
  </si>
  <si>
    <t>We aim to continually improve this with your inputs. Thanks!</t>
  </si>
  <si>
    <t>Your progress with each invitee</t>
  </si>
  <si>
    <t>You have yet to invite NAME to this warmup wellness exercise. After you send NAME an INVITATION card, meme, or video, be sure to mark the date and proceed with these steps.</t>
  </si>
  <si>
    <t>You first invited NAME ## days ago, back on the DAY of MONTH, YEAR. Since ## days have gone by, use the "follow-up" message template to remind them to share a need.</t>
  </si>
  <si>
    <t>Allow up to two weeks for a response. If no response by MM/DD/YYYY, then mark "no reply" as NAME's official response. Move on to the next invitee. Maybe find a new one.</t>
  </si>
  <si>
    <t>Estimate NAME's level of urgency for their expressed need. In the next step, you can ask NAME how meaningful this need was for them. For now, trust your instinct of its urgency.</t>
  </si>
  <si>
    <t>Establish your 'responsive rating' by having NAME rate how satisfied with your efforts to serve their need. Use the "rate me" tab to solicit their feedback and check their urgency level.</t>
  </si>
  <si>
    <t>So far, you're doing great with NAME! With 50% of these steps completed, it's now time to give NAME a need of yours they can now honor. You can use the "PNP" tab for this.</t>
  </si>
  <si>
    <t xml:space="preserve">Now that you know how receptive NAME is to your shared need, check how responsive they are to your need. Your energing 'responsive rating' depends on this reciprocity. </t>
  </si>
  <si>
    <t>If satisfied with NAME's level of responsiveness so far, use the "invite" tab to welcome them to follow your upcoming wellness campaign. It also shares their responsive score.</t>
  </si>
  <si>
    <t>Allow up to two weeks for a response. If no response by MM/DD/YYYY, then mark "no reply" as the official response. Emotionally prepare yourself to drop NAME from consideration.</t>
  </si>
  <si>
    <t>Like before, NAME may need a gentle reminder to repond to your invitation. Simply send NAME another "invite" tab message with their evolving responsive score.</t>
  </si>
  <si>
    <t>Congratulations on completing all these steps to engage NAME. If you find NAME responsive enough to 'follow' your upcoming wellness campaign, great! Invite them when ready.</t>
  </si>
  <si>
    <t xml:space="preserve"> an INVITATION card, meme, or video, be sure to mark the date and proceed with these steps.</t>
  </si>
  <si>
    <t xml:space="preserve"> to this warmup wellness exercise. After you send </t>
  </si>
  <si>
    <t xml:space="preserve">You have yet to invite </t>
  </si>
  <si>
    <t>this invitee</t>
  </si>
  <si>
    <t xml:space="preserve">You first invited </t>
  </si>
  <si>
    <t xml:space="preserve">, back on </t>
  </si>
  <si>
    <t xml:space="preserve">. Since </t>
  </si>
  <si>
    <t xml:space="preserve"> days have gone by, use the "follow-up" message template to remind them to share a need.</t>
  </si>
  <si>
    <t xml:space="preserve">Allow up to two weeks for a response. If no response by </t>
  </si>
  <si>
    <t xml:space="preserve">, then mark "no reply" as </t>
  </si>
  <si>
    <t>allow 2 weeks</t>
  </si>
  <si>
    <t>'s official response. Move on to the next invitee. Maybe find a new one.</t>
  </si>
  <si>
    <t xml:space="preserve">Since you received no response from </t>
  </si>
  <si>
    <t>, mark "no reply" as their response level. Move on to the next invitee. Maybe find a new one.</t>
  </si>
  <si>
    <t xml:space="preserve"> since </t>
  </si>
  <si>
    <t>STATUS of your progress cultivating each invitee's responsiveness.</t>
  </si>
  <si>
    <t xml:space="preserve"> how meaningful this need was for them. For now, trust your instinct of its urgency.</t>
  </si>
  <si>
    <t xml:space="preserve">'s level of urgency for their expressed need. In the next step, you can ask </t>
  </si>
  <si>
    <t xml:space="preserve">Estimate </t>
  </si>
  <si>
    <t xml:space="preserve">Establish your 'responsive rating' by having </t>
  </si>
  <si>
    <t xml:space="preserve"> rate how satisfied with your efforts to serve their need. Use the "rate me" tab to solicit their feedback and check their urgency level.</t>
  </si>
  <si>
    <t xml:space="preserve">So far, you're doing great with </t>
  </si>
  <si>
    <t xml:space="preserve">Now that you know how receptive </t>
  </si>
  <si>
    <t xml:space="preserve"> is to your shared need, check how responsive they are to your need. Your energing 'responsive rating' depends on this reciprocity. </t>
  </si>
  <si>
    <t xml:space="preserve">If satisfied with </t>
  </si>
  <si>
    <t>'s level of responsiveness so far, use the "invite" tab to welcome them to follow your upcoming wellness campaign. It also shares their responsive score.</t>
  </si>
  <si>
    <t xml:space="preserve"> from consideration.</t>
  </si>
  <si>
    <t xml:space="preserve">, mark "no reply" as their response level. Emotionally prepare yourself to drop </t>
  </si>
  <si>
    <t>DATE</t>
  </si>
  <si>
    <t xml:space="preserve">, then mark "no reply" as the official response. Emotionally prepare yourself to drop </t>
  </si>
  <si>
    <t xml:space="preserve">Like before, </t>
  </si>
  <si>
    <t xml:space="preserve"> may need a gentle reminder to repond to your invitation. Simply send </t>
  </si>
  <si>
    <t xml:space="preserve"> another "invite" tab message with their evolving responsive score.</t>
  </si>
  <si>
    <t xml:space="preserve">Congratulations on completing all these steps to engage </t>
  </si>
  <si>
    <t xml:space="preserve">. If you find </t>
  </si>
  <si>
    <t xml:space="preserve"> when ready.</t>
  </si>
  <si>
    <t xml:space="preserve"> responsive enough to 'follow' your upcoming wellness campaign, great! Invite </t>
  </si>
  <si>
    <t>At your current rate, you will finally complete this wellness warmup about MM/DD/YYYY.</t>
  </si>
  <si>
    <t>Your progress with each invitee if more than ten invited</t>
  </si>
  <si>
    <t>F. Time left = (B. BX1082 x A. C149)/E. number of unfinished steps = C. total number of steps - D. number of completed steps</t>
  </si>
  <si>
    <t>When starting exercise:</t>
  </si>
  <si>
    <t>Today:</t>
  </si>
  <si>
    <t>days progress</t>
  </si>
  <si>
    <t>steps per day</t>
  </si>
  <si>
    <t>averaging</t>
  </si>
  <si>
    <t>steps to go</t>
  </si>
  <si>
    <t>steps done</t>
  </si>
  <si>
    <t>total steps</t>
  </si>
  <si>
    <t>days to go</t>
  </si>
  <si>
    <t xml:space="preserve">At your current rate, you will finally complete this wellness warmup about </t>
  </si>
  <si>
    <t xml:space="preserve"> is your presenting "responsive reputation"</t>
  </si>
  <si>
    <t xml:space="preserve">Thank you for participating. This wellness warmup exercise illuminates how responsive each of us are to the needs of others. The less we respond to each other's expressed needs, the greater the risk for problems, for pain, and missed potential. The better we respond to each other's needs, the better all of our lives can be. </t>
  </si>
  <si>
    <t>What gets measured generally gets done. So we're introducing a "responsive reputation" to everyone affecting our needs. NAME, your responsive reputation score is currently ##%. You can improve your score by continuing to participate in my upcoming wellness campaign.</t>
  </si>
  <si>
    <t xml:space="preserve">You can use this "responsive reputation" score when seeking a job, in your LinkedIn profile, when confronted by someone trying to pull you into a conflict, when speaking truth to power, and much more. Unfortunately, your level of responsiveness during this exercise presented as disappointing. Perhaps I failed in some way to earn your trust. Or failed to inspire you with my loving intent. Or maybe this simply wasn't the best time for you to respond to this invitation. </t>
  </si>
  <si>
    <t>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t>
  </si>
  <si>
    <t xml:space="preserve">What gets measured generally gets done. So we're introducing a "responsive reputation" to everyone affecting our needs. </t>
  </si>
  <si>
    <t xml:space="preserve">, your responsive reputation score is currently </t>
  </si>
  <si>
    <t xml:space="preserve"> is your "responsive reputation" score</t>
  </si>
  <si>
    <t>%. Your score provides proof of the respect you've earned. You can improve your score by continuing to participate in my upcoming wellness campaign.</t>
  </si>
  <si>
    <t xml:space="preserve">You can use this "responsive reputation" score when seeking a job, in your LinkedIn profile, when confronted by someone trying to pull you into a conflict, when speaking truth to power, and much more. </t>
  </si>
  <si>
    <t xml:space="preserve">Unfortunately, your level of responsiveness during this exercise presented as disappointing. Perhaps I failed in some way to earn your trust. Or failed to inspire you with my loving intent. Or maybe this simply wasn't the best time for you to respond to this invitation. </t>
  </si>
  <si>
    <t>Your level of responsiveness during this exercise presented as minimally sufficient. You appear to have much room to improve your responsiveness to needs. As do I. There are many factors involved. Some beyond our personal control. Together, we can transcend those barriers with the power of love.</t>
  </si>
  <si>
    <t>Your level of responsiveness during this exercise presented as adequately sufficient. You appear to appreciate the value of being more responsive to needs. You can become even more responsive by overcoming remaining challenges. Together, we can transcend those barriers with the power of love.</t>
  </si>
  <si>
    <t>Your level of responsiveness during this exercise presented as potentially significant. You appear to significantly value being as responsive to needs as possible. You can become even more responsive by overcoming remaining challenges. Together, we can transcend those barriers with the power of love.</t>
  </si>
  <si>
    <t xml:space="preserve">Thank you anyways for participating in this learning experience. I hope it contributed something positive to your life. Again, thank you, </t>
  </si>
  <si>
    <t>. I was going to next invite you to follow my wellness campaign. I now leave that up to you. You can learn more about it by clicking the button below.</t>
  </si>
  <si>
    <t xml:space="preserve">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
</t>
  </si>
  <si>
    <t>Your level of responsiveness during this exercise presented as exemplary and even inspirational. To sustain such responsiveness will require you to challenge some barriers beyond your persoal control. Together, we can transcend those barriers with the power of love.</t>
  </si>
  <si>
    <t>'s wellness campaign</t>
  </si>
  <si>
    <t xml:space="preserve">REMINDER to follow </t>
  </si>
  <si>
    <t>REMINDER to follow my wellness campaign</t>
  </si>
  <si>
    <t>Your evolving responsive score:</t>
  </si>
  <si>
    <t>FOLLOW my wellness campaign for FREE</t>
  </si>
  <si>
    <t>' wellness campaign for FREE</t>
  </si>
  <si>
    <t xml:space="preserve">FOLLOW </t>
  </si>
  <si>
    <t xml:space="preserve">So take a little time to join my campaign now. Click the button below to go to the online landing page. Fill out the short form. Be sure to select </t>
  </si>
  <si>
    <t xml:space="preserve"> as the Campaigner you are following. Then click the FOLLOW ME button. Then click the Select button to join my campaign. Welcome aboard!</t>
  </si>
  <si>
    <t xml:space="preserve"> as the Campaigner you are following. Then click the FOLLOW ME button. Then click the Select button to join my campaign. Sign in or sign up. Then click Get Plan. Finally, check in your email inbox and welcome aboard!</t>
  </si>
  <si>
    <t xml:space="preserve"> a need of yours they can now honor. You can use the "PNP" tab for this.</t>
  </si>
  <si>
    <t xml:space="preserve">! With 50% of these steps completed, it's now time to give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</si>
</sst>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F800]dddd\,\ mmmm\ dd\,\ yyyy"/>
  </numFmts>
  <fonts count="111" x14ac:knownFonts="1">
    <font>
      <sz val="11"/>
      <color theme="1"/>
      <name val="Calibri"/>
      <family val="2"/>
      <scheme val="minor"/>
    </font>
    <font>
      <sz val="11"/>
      <color theme="1"/>
      <name val="Calibri"/>
      <family val="2"/>
      <scheme val="minor"/>
    </font>
    <font>
      <sz val="10"/>
      <color theme="1"/>
      <name val="Arial Narrow"/>
      <family val="2"/>
    </font>
    <font>
      <sz val="10"/>
      <color theme="0"/>
      <name val="Wingdings 3"/>
      <family val="1"/>
      <charset val="2"/>
    </font>
    <font>
      <sz val="9"/>
      <color theme="1"/>
      <name val="Arial Narrow"/>
      <family val="2"/>
    </font>
    <font>
      <b/>
      <sz val="10"/>
      <color theme="1"/>
      <name val="Arial Narrow"/>
      <family val="2"/>
    </font>
    <font>
      <sz val="10"/>
      <color rgb="FFFF0000"/>
      <name val="Arial Narrow"/>
      <family val="2"/>
    </font>
    <font>
      <sz val="9"/>
      <color theme="1"/>
      <name val="Arial Black"/>
      <family val="2"/>
    </font>
    <font>
      <i/>
      <sz val="10"/>
      <color theme="1"/>
      <name val="Arial Narrow"/>
      <family val="2"/>
    </font>
    <font>
      <u/>
      <sz val="10"/>
      <color theme="1"/>
      <name val="Arial Narrow"/>
      <family val="2"/>
    </font>
    <font>
      <b/>
      <sz val="14"/>
      <color theme="1"/>
      <name val="Tahoma"/>
      <family val="2"/>
    </font>
    <font>
      <sz val="14"/>
      <color theme="1"/>
      <name val="Tahoma"/>
      <family val="2"/>
    </font>
    <font>
      <sz val="12"/>
      <color theme="1"/>
      <name val="Tahoma"/>
      <family val="2"/>
    </font>
    <font>
      <sz val="11"/>
      <color theme="1"/>
      <name val="Arial"/>
      <family val="2"/>
    </font>
    <font>
      <b/>
      <sz val="12"/>
      <color theme="1"/>
      <name val="Arial"/>
      <family val="2"/>
    </font>
    <font>
      <sz val="12"/>
      <color theme="1"/>
      <name val="Arial"/>
      <family val="2"/>
    </font>
    <font>
      <b/>
      <u/>
      <sz val="12"/>
      <color theme="1"/>
      <name val="Tahoma"/>
      <family val="2"/>
    </font>
    <font>
      <b/>
      <sz val="16"/>
      <color theme="1"/>
      <name val="Tahoma"/>
      <family val="2"/>
    </font>
    <font>
      <sz val="9"/>
      <color theme="1"/>
      <name val="Arial"/>
      <family val="2"/>
    </font>
    <font>
      <sz val="17"/>
      <color rgb="FFF0CDFF"/>
      <name val="Arial Black"/>
      <family val="2"/>
    </font>
    <font>
      <sz val="48"/>
      <color theme="1"/>
      <name val="Arial Narrow"/>
      <family val="2"/>
    </font>
    <font>
      <b/>
      <sz val="54"/>
      <color rgb="FFB4FFD7"/>
      <name val="Tahoma"/>
      <family val="2"/>
    </font>
    <font>
      <b/>
      <sz val="22"/>
      <color rgb="FFB4FFD7"/>
      <name val="Arial Black"/>
      <family val="2"/>
    </font>
    <font>
      <b/>
      <sz val="22"/>
      <color rgb="FFDCC8EB"/>
      <name val="Arial Black"/>
      <family val="2"/>
    </font>
    <font>
      <sz val="24"/>
      <color rgb="FFF0CDFF"/>
      <name val="Arial Black"/>
      <family val="2"/>
    </font>
    <font>
      <sz val="9"/>
      <color indexed="81"/>
      <name val="Tahoma"/>
      <family val="2"/>
    </font>
    <font>
      <b/>
      <u/>
      <sz val="11"/>
      <color theme="1"/>
      <name val="Tahoma"/>
      <family val="2"/>
    </font>
    <font>
      <b/>
      <u/>
      <sz val="10"/>
      <color theme="1"/>
      <name val="Tahoma"/>
      <family val="2"/>
    </font>
    <font>
      <b/>
      <sz val="12"/>
      <color theme="1"/>
      <name val="Tahoma"/>
      <family val="2"/>
    </font>
    <font>
      <sz val="12"/>
      <color theme="1"/>
      <name val="Arial Black"/>
      <family val="2"/>
    </font>
    <font>
      <sz val="20"/>
      <color theme="1"/>
      <name val="Arial Black"/>
      <family val="2"/>
    </font>
    <font>
      <b/>
      <sz val="9"/>
      <color indexed="81"/>
      <name val="Tahoma"/>
      <family val="2"/>
    </font>
    <font>
      <b/>
      <u/>
      <sz val="6"/>
      <color theme="1"/>
      <name val="Tahoma"/>
      <family val="2"/>
    </font>
    <font>
      <b/>
      <sz val="20"/>
      <color theme="1"/>
      <name val="Tahoma"/>
      <family val="2"/>
    </font>
    <font>
      <b/>
      <sz val="12"/>
      <color rgb="FF00B050"/>
      <name val="Tahoma"/>
      <family val="2"/>
    </font>
    <font>
      <b/>
      <sz val="12"/>
      <color rgb="FFFF5050"/>
      <name val="Tahoma"/>
      <family val="2"/>
    </font>
    <font>
      <b/>
      <sz val="11"/>
      <color indexed="81"/>
      <name val="Tahoma"/>
      <family val="2"/>
    </font>
    <font>
      <sz val="10"/>
      <color indexed="81"/>
      <name val="Tahoma"/>
      <family val="2"/>
    </font>
    <font>
      <b/>
      <u/>
      <sz val="14"/>
      <color theme="1"/>
      <name val="Tahoma"/>
      <family val="2"/>
    </font>
    <font>
      <sz val="10"/>
      <color rgb="FFFF5050"/>
      <name val="Arial Narrow"/>
      <family val="2"/>
    </font>
    <font>
      <b/>
      <sz val="10"/>
      <color theme="1"/>
      <name val="Arial"/>
      <family val="2"/>
    </font>
    <font>
      <sz val="8"/>
      <name val="Calibri"/>
      <family val="2"/>
      <scheme val="minor"/>
    </font>
    <font>
      <b/>
      <sz val="9"/>
      <color theme="1"/>
      <name val="Tahoma"/>
      <family val="2"/>
    </font>
    <font>
      <u/>
      <sz val="9"/>
      <color theme="1"/>
      <name val="Arial Narrow"/>
      <family val="2"/>
    </font>
    <font>
      <b/>
      <sz val="40"/>
      <color rgb="FFB4FFD7"/>
      <name val="Tahoma"/>
      <family val="2"/>
    </font>
    <font>
      <sz val="10"/>
      <color rgb="FF7030A0"/>
      <name val="Arial Narrow"/>
      <family val="2"/>
    </font>
    <font>
      <b/>
      <sz val="18"/>
      <color theme="1"/>
      <name val="Tahoma"/>
      <family val="2"/>
    </font>
    <font>
      <b/>
      <sz val="12"/>
      <color rgb="FF0070C0"/>
      <name val="Tahoma"/>
      <family val="2"/>
    </font>
    <font>
      <sz val="10"/>
      <color rgb="FF0070C0"/>
      <name val="Arial"/>
      <family val="2"/>
    </font>
    <font>
      <b/>
      <u/>
      <sz val="10"/>
      <color theme="1" tint="0.249977111117893"/>
      <name val="Tahoma"/>
      <family val="2"/>
    </font>
    <font>
      <sz val="12"/>
      <color theme="1" tint="0.249977111117893"/>
      <name val="Tahoma"/>
      <family val="2"/>
    </font>
    <font>
      <sz val="12"/>
      <color theme="1" tint="0.249977111117893"/>
      <name val="Arial"/>
      <family val="2"/>
    </font>
    <font>
      <b/>
      <sz val="28"/>
      <color rgb="FFDCC8EB"/>
      <name val="Arial Black"/>
      <family val="2"/>
    </font>
    <font>
      <b/>
      <sz val="28"/>
      <color rgb="FF73FFAF"/>
      <name val="Arial Black"/>
      <family val="2"/>
    </font>
    <font>
      <b/>
      <sz val="28"/>
      <color rgb="FFB4FFD7"/>
      <name val="Arial Black"/>
      <family val="2"/>
    </font>
    <font>
      <sz val="15"/>
      <color theme="0" tint="-4.9989318521683403E-2"/>
      <name val="Arial"/>
      <family val="2"/>
    </font>
    <font>
      <b/>
      <sz val="15"/>
      <color rgb="FF7DFFBE"/>
      <name val="Arial"/>
      <family val="2"/>
    </font>
    <font>
      <sz val="11"/>
      <color theme="1" tint="0.249977111117893"/>
      <name val="Arial"/>
      <family val="2"/>
    </font>
    <font>
      <sz val="10"/>
      <color theme="1" tint="0.249977111117893"/>
      <name val="Arial Narrow"/>
      <family val="2"/>
    </font>
    <font>
      <sz val="11"/>
      <color theme="1"/>
      <name val="Tahoma"/>
      <family val="2"/>
    </font>
    <font>
      <b/>
      <u/>
      <sz val="16"/>
      <color theme="1"/>
      <name val="Arial Black"/>
      <family val="2"/>
    </font>
    <font>
      <b/>
      <sz val="34"/>
      <color rgb="FF00642D"/>
      <name val="Tahoma"/>
      <family val="2"/>
    </font>
    <font>
      <b/>
      <sz val="36"/>
      <color rgb="FF004221"/>
      <name val="Tahoma"/>
      <family val="2"/>
    </font>
    <font>
      <sz val="14"/>
      <color theme="1"/>
      <name val="Arial"/>
      <family val="2"/>
    </font>
    <font>
      <b/>
      <sz val="14"/>
      <color theme="1"/>
      <name val="Arial"/>
      <family val="2"/>
    </font>
    <font>
      <b/>
      <sz val="9"/>
      <color indexed="17"/>
      <name val="Tahoma"/>
      <family val="2"/>
    </font>
    <font>
      <b/>
      <sz val="13.5"/>
      <color theme="1"/>
      <name val="Tahoma"/>
      <family val="2"/>
    </font>
    <font>
      <b/>
      <sz val="13"/>
      <color rgb="FF004221"/>
      <name val="Arial"/>
      <family val="2"/>
    </font>
    <font>
      <sz val="9"/>
      <color rgb="FFC00000"/>
      <name val="Arial Black"/>
      <family val="2"/>
    </font>
    <font>
      <b/>
      <sz val="9"/>
      <color theme="1"/>
      <name val="Arial Narrow"/>
      <family val="2"/>
    </font>
    <font>
      <b/>
      <sz val="11"/>
      <color theme="1"/>
      <name val="Arial Narrow"/>
      <family val="2"/>
    </font>
    <font>
      <b/>
      <sz val="24"/>
      <color theme="1"/>
      <name val="Tahoma"/>
      <family val="2"/>
    </font>
    <font>
      <b/>
      <sz val="24"/>
      <color rgb="FF004221"/>
      <name val="Tahoma"/>
      <family val="2"/>
    </font>
    <font>
      <b/>
      <sz val="14"/>
      <color rgb="FF006432"/>
      <name val="Tahoma"/>
      <family val="2"/>
    </font>
    <font>
      <b/>
      <sz val="19"/>
      <color rgb="FF004221"/>
      <name val="Tahoma"/>
      <family val="2"/>
    </font>
    <font>
      <b/>
      <sz val="14"/>
      <color rgb="FF004221"/>
      <name val="Tahoma"/>
      <family val="2"/>
    </font>
    <font>
      <sz val="12"/>
      <color rgb="FF004221"/>
      <name val="Tahoma"/>
      <family val="2"/>
    </font>
    <font>
      <b/>
      <sz val="12"/>
      <color rgb="FF461E64"/>
      <name val="Tahoma"/>
      <family val="2"/>
    </font>
    <font>
      <b/>
      <sz val="18"/>
      <color rgb="FF004221"/>
      <name val="Tahoma"/>
      <family val="2"/>
    </font>
    <font>
      <b/>
      <sz val="11"/>
      <color theme="1"/>
      <name val="Arial"/>
      <family val="2"/>
    </font>
    <font>
      <b/>
      <i/>
      <sz val="10"/>
      <color theme="1"/>
      <name val="Arial Narrow"/>
      <family val="2"/>
    </font>
    <font>
      <sz val="8"/>
      <color theme="1"/>
      <name val="Arial Narrow"/>
      <family val="2"/>
    </font>
    <font>
      <sz val="10"/>
      <color rgb="FF006432"/>
      <name val="Arial Narrow"/>
      <family val="2"/>
    </font>
    <font>
      <b/>
      <sz val="13"/>
      <color theme="1"/>
      <name val="Arial"/>
      <family val="2"/>
    </font>
    <font>
      <sz val="12"/>
      <color rgb="FF006432"/>
      <name val="Tahoma"/>
      <family val="2"/>
    </font>
    <font>
      <b/>
      <sz val="20"/>
      <color rgb="FF461E64"/>
      <name val="Tahoma"/>
      <family val="2"/>
    </font>
    <font>
      <b/>
      <sz val="16"/>
      <color rgb="FF461E64"/>
      <name val="Tahoma"/>
      <family val="2"/>
    </font>
    <font>
      <b/>
      <sz val="8"/>
      <color theme="1"/>
      <name val="Arial Narrow"/>
      <family val="2"/>
    </font>
    <font>
      <b/>
      <sz val="11"/>
      <color theme="1"/>
      <name val="Tahoma"/>
      <family val="2"/>
    </font>
    <font>
      <b/>
      <sz val="16"/>
      <color rgb="FF006432"/>
      <name val="Tahoma"/>
      <family val="2"/>
    </font>
    <font>
      <b/>
      <i/>
      <sz val="9"/>
      <color theme="1"/>
      <name val="Arial Narrow"/>
      <family val="2"/>
    </font>
    <font>
      <b/>
      <sz val="14"/>
      <color rgb="FFB4FFD7"/>
      <name val="Arial"/>
      <family val="2"/>
    </font>
    <font>
      <b/>
      <sz val="14"/>
      <color rgb="FF004221"/>
      <name val="Arial"/>
      <family val="2"/>
    </font>
    <font>
      <b/>
      <sz val="20"/>
      <color rgb="FF004221"/>
      <name val="Tahoma"/>
      <family val="2"/>
    </font>
    <font>
      <b/>
      <sz val="9"/>
      <color indexed="42"/>
      <name val="Tahoma"/>
      <family val="2"/>
    </font>
    <font>
      <b/>
      <i/>
      <sz val="10"/>
      <color rgb="FF004221"/>
      <name val="Arial Narrow"/>
      <family val="2"/>
    </font>
    <font>
      <b/>
      <u/>
      <sz val="10"/>
      <color theme="1"/>
      <name val="Arial Narrow"/>
      <family val="2"/>
    </font>
    <font>
      <sz val="10"/>
      <color rgb="FF00B050"/>
      <name val="Arial Narrow"/>
      <family val="2"/>
    </font>
    <font>
      <b/>
      <sz val="15"/>
      <color rgb="FF006432"/>
      <name val="Tahoma"/>
      <family val="2"/>
    </font>
    <font>
      <b/>
      <sz val="14"/>
      <color rgb="FF7DFFBE"/>
      <name val="Tahoma"/>
      <family val="2"/>
    </font>
    <font>
      <b/>
      <sz val="32"/>
      <color rgb="FF004221"/>
      <name val="Tahoma"/>
      <family val="2"/>
    </font>
    <font>
      <b/>
      <sz val="29"/>
      <color rgb="FFCCFFCC"/>
      <name val="Tahoma"/>
      <family val="2"/>
    </font>
    <font>
      <sz val="10"/>
      <color theme="1"/>
      <name val="Tahoma"/>
      <family val="2"/>
    </font>
    <font>
      <sz val="12"/>
      <color rgb="FF7DFFBE"/>
      <name val="Tahoma"/>
      <family val="2"/>
    </font>
    <font>
      <b/>
      <sz val="10"/>
      <color rgb="FF00E664"/>
      <name val="Tahoma"/>
      <family val="2"/>
    </font>
    <font>
      <sz val="10"/>
      <color rgb="FF00E664"/>
      <name val="Arial Narrow"/>
      <family val="2"/>
    </font>
    <font>
      <b/>
      <sz val="9"/>
      <color rgb="FF4B1964"/>
      <name val="Tahoma"/>
      <family val="2"/>
    </font>
    <font>
      <b/>
      <sz val="12"/>
      <color rgb="FF7030A0"/>
      <name val="Tahoma"/>
      <family val="2"/>
    </font>
    <font>
      <b/>
      <sz val="20"/>
      <color rgb="FF006432"/>
      <name val="Tahoma"/>
      <family val="2"/>
    </font>
    <font>
      <b/>
      <sz val="16"/>
      <color rgb="FF00E664"/>
      <name val="Tahoma"/>
      <family val="2"/>
    </font>
    <font>
      <b/>
      <sz val="9"/>
      <color indexed="27"/>
      <name val="Tahoma"/>
      <family val="2"/>
    </font>
  </fonts>
  <fills count="11">
    <fill>
      <patternFill patternType="none"/>
    </fill>
    <fill>
      <patternFill patternType="gray125"/>
    </fill>
    <fill>
      <patternFill patternType="solid">
        <fgColor theme="0"/>
        <bgColor indexed="64"/>
      </patternFill>
    </fill>
    <fill>
      <patternFill patternType="solid">
        <fgColor rgb="FFF0CDFF"/>
        <bgColor indexed="64"/>
      </patternFill>
    </fill>
    <fill>
      <patternFill patternType="solid">
        <fgColor rgb="FFB4FFD7"/>
        <bgColor indexed="64"/>
      </patternFill>
    </fill>
    <fill>
      <patternFill patternType="solid">
        <fgColor rgb="FF007D37"/>
        <bgColor indexed="64"/>
      </patternFill>
    </fill>
    <fill>
      <patternFill patternType="solid">
        <fgColor rgb="FF7DFFBE"/>
        <bgColor indexed="64"/>
      </patternFill>
    </fill>
    <fill>
      <patternFill patternType="solid">
        <fgColor rgb="FF006432"/>
        <bgColor indexed="64"/>
      </patternFill>
    </fill>
    <fill>
      <gradientFill>
        <stop position="0">
          <color rgb="FF004221"/>
        </stop>
        <stop position="0.5">
          <color rgb="FF006432"/>
        </stop>
        <stop position="1">
          <color rgb="FF004221"/>
        </stop>
      </gradientFill>
    </fill>
    <fill>
      <patternFill patternType="solid">
        <fgColor rgb="FF003219"/>
        <bgColor indexed="64"/>
      </patternFill>
    </fill>
    <fill>
      <patternFill patternType="solid">
        <fgColor rgb="FFFFFF00"/>
        <bgColor indexed="64"/>
      </patternFill>
    </fill>
  </fills>
  <borders count="44">
    <border>
      <left/>
      <right/>
      <top/>
      <bottom/>
      <diagonal/>
    </border>
    <border>
      <left/>
      <right/>
      <top/>
      <bottom style="thick">
        <color rgb="FF009646"/>
      </bottom>
      <diagonal/>
    </border>
    <border>
      <left/>
      <right style="thin">
        <color rgb="FF00B050"/>
      </right>
      <top/>
      <bottom style="thin">
        <color rgb="FF00B050"/>
      </bottom>
      <diagonal/>
    </border>
    <border>
      <left/>
      <right/>
      <top/>
      <bottom style="thin">
        <color rgb="FF00B050"/>
      </bottom>
      <diagonal/>
    </border>
    <border>
      <left style="thin">
        <color rgb="FF00B050"/>
      </left>
      <right/>
      <top/>
      <bottom style="thin">
        <color rgb="FF00B050"/>
      </bottom>
      <diagonal/>
    </border>
    <border>
      <left/>
      <right style="thin">
        <color rgb="FF00B050"/>
      </right>
      <top/>
      <bottom/>
      <diagonal/>
    </border>
    <border>
      <left style="thin">
        <color rgb="FF00B050"/>
      </left>
      <right/>
      <top/>
      <bottom/>
      <diagonal/>
    </border>
    <border>
      <left/>
      <right style="thin">
        <color rgb="FF00B050"/>
      </right>
      <top style="thin">
        <color rgb="FF00B050"/>
      </top>
      <bottom/>
      <diagonal/>
    </border>
    <border>
      <left/>
      <right/>
      <top style="thin">
        <color rgb="FF00B050"/>
      </top>
      <bottom/>
      <diagonal/>
    </border>
    <border>
      <left style="thin">
        <color rgb="FF00B050"/>
      </left>
      <right/>
      <top style="thin">
        <color rgb="FF00B050"/>
      </top>
      <bottom/>
      <diagonal/>
    </border>
    <border>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dashed">
        <color rgb="FFEBDCFF"/>
      </left>
      <right style="thin">
        <color rgb="FF00B05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4221"/>
      </left>
      <right/>
      <top style="thin">
        <color rgb="FF004221"/>
      </top>
      <bottom style="thin">
        <color rgb="FF004221"/>
      </bottom>
      <diagonal/>
    </border>
    <border>
      <left/>
      <right/>
      <top style="thin">
        <color rgb="FF004221"/>
      </top>
      <bottom style="thin">
        <color rgb="FF004221"/>
      </bottom>
      <diagonal/>
    </border>
    <border>
      <left/>
      <right style="thin">
        <color rgb="FF004221"/>
      </right>
      <top style="thin">
        <color rgb="FF004221"/>
      </top>
      <bottom style="thin">
        <color rgb="FF004221"/>
      </bottom>
      <diagonal/>
    </border>
    <border>
      <left style="thick">
        <color rgb="FFCCFFCC"/>
      </left>
      <right/>
      <top style="thick">
        <color rgb="FFCCFFCC"/>
      </top>
      <bottom style="thick">
        <color rgb="FFCCFFCC"/>
      </bottom>
      <diagonal/>
    </border>
    <border>
      <left/>
      <right/>
      <top style="thick">
        <color rgb="FFCCFFCC"/>
      </top>
      <bottom style="thick">
        <color rgb="FFCCFFCC"/>
      </bottom>
      <diagonal/>
    </border>
    <border>
      <left/>
      <right style="thick">
        <color rgb="FFCCFFCC"/>
      </right>
      <top style="thick">
        <color rgb="FFCCFFCC"/>
      </top>
      <bottom style="thick">
        <color rgb="FFCCFF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rgb="FF006432"/>
      </left>
      <right style="medium">
        <color rgb="FF006432"/>
      </right>
      <top style="medium">
        <color rgb="FF006432"/>
      </top>
      <bottom style="medium">
        <color rgb="FF006432"/>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hair">
        <color rgb="FF00B050"/>
      </left>
      <right/>
      <top style="hair">
        <color rgb="FF00B050"/>
      </top>
      <bottom style="hair">
        <color rgb="FF00B050"/>
      </bottom>
      <diagonal/>
    </border>
    <border>
      <left/>
      <right/>
      <top style="hair">
        <color rgb="FF00B050"/>
      </top>
      <bottom style="hair">
        <color rgb="FF00B050"/>
      </bottom>
      <diagonal/>
    </border>
    <border>
      <left/>
      <right style="hair">
        <color rgb="FF00B050"/>
      </right>
      <top style="hair">
        <color rgb="FF00B050"/>
      </top>
      <bottom style="hair">
        <color rgb="FF00B050"/>
      </bottom>
      <diagonal/>
    </border>
    <border>
      <left style="thick">
        <color rgb="FF7DFFBE"/>
      </left>
      <right/>
      <top style="thick">
        <color rgb="FF7DFFBE"/>
      </top>
      <bottom style="thick">
        <color rgb="FF7DFFBE"/>
      </bottom>
      <diagonal/>
    </border>
    <border>
      <left/>
      <right/>
      <top style="thick">
        <color rgb="FF7DFFBE"/>
      </top>
      <bottom style="thick">
        <color rgb="FF7DFFBE"/>
      </bottom>
      <diagonal/>
    </border>
    <border>
      <left/>
      <right style="thick">
        <color rgb="FF7DFFBE"/>
      </right>
      <top style="thick">
        <color rgb="FF7DFFBE"/>
      </top>
      <bottom style="thick">
        <color rgb="FF7DFFBE"/>
      </bottom>
      <diagonal/>
    </border>
    <border>
      <left/>
      <right/>
      <top/>
      <bottom style="thick">
        <color rgb="FF7DFFBE"/>
      </bottom>
      <diagonal/>
    </border>
    <border>
      <left/>
      <right/>
      <top style="thick">
        <color rgb="FF7DFFBE"/>
      </top>
      <bottom/>
      <diagonal/>
    </border>
    <border>
      <left style="thin">
        <color rgb="FF00E664"/>
      </left>
      <right/>
      <top style="thin">
        <color rgb="FF00E664"/>
      </top>
      <bottom style="thin">
        <color rgb="FF00E664"/>
      </bottom>
      <diagonal/>
    </border>
    <border>
      <left/>
      <right style="thin">
        <color rgb="FF00E664"/>
      </right>
      <top style="thin">
        <color rgb="FF00E664"/>
      </top>
      <bottom style="thin">
        <color rgb="FF00E664"/>
      </bottom>
      <diagonal/>
    </border>
    <border>
      <left/>
      <right/>
      <top style="thick">
        <color rgb="FF009646"/>
      </top>
      <bottom/>
      <diagonal/>
    </border>
  </borders>
  <cellStyleXfs count="2">
    <xf numFmtId="0" fontId="0" fillId="0" borderId="0"/>
    <xf numFmtId="9" fontId="1" fillId="0" borderId="0" applyFont="0" applyFill="0" applyBorder="0" applyAlignment="0" applyProtection="0"/>
  </cellStyleXfs>
  <cellXfs count="327">
    <xf numFmtId="0" fontId="0" fillId="0" borderId="0" xfId="0"/>
    <xf numFmtId="0" fontId="2" fillId="2" borderId="0" xfId="0" applyFont="1" applyFill="1"/>
    <xf numFmtId="0" fontId="3" fillId="2" borderId="0" xfId="0" applyFont="1" applyFill="1" applyAlignment="1">
      <alignment horizontal="center" vertical="center"/>
    </xf>
    <xf numFmtId="0" fontId="4" fillId="2" borderId="0" xfId="0" applyFont="1" applyFill="1"/>
    <xf numFmtId="0" fontId="5" fillId="2" borderId="0" xfId="0" applyFont="1" applyFill="1"/>
    <xf numFmtId="0" fontId="5" fillId="2" borderId="0" xfId="0" quotePrefix="1" applyFont="1" applyFill="1"/>
    <xf numFmtId="0" fontId="2" fillId="2" borderId="0" xfId="0" quotePrefix="1" applyFont="1" applyFill="1"/>
    <xf numFmtId="0" fontId="2" fillId="2" borderId="0" xfId="0" applyFont="1" applyFill="1" applyAlignment="1">
      <alignment horizontal="right"/>
    </xf>
    <xf numFmtId="0" fontId="6" fillId="2" borderId="0" xfId="0" quotePrefix="1" applyFont="1" applyFill="1"/>
    <xf numFmtId="0" fontId="7" fillId="2" borderId="0" xfId="0" applyFont="1" applyFill="1"/>
    <xf numFmtId="0" fontId="8" fillId="2" borderId="0" xfId="0" applyFont="1" applyFill="1"/>
    <xf numFmtId="0" fontId="9" fillId="2" borderId="0" xfId="0" applyFont="1" applyFill="1" applyAlignment="1">
      <alignment horizontal="right"/>
    </xf>
    <xf numFmtId="0" fontId="10" fillId="2" borderId="0" xfId="0" applyFont="1" applyFill="1"/>
    <xf numFmtId="0" fontId="2" fillId="2" borderId="0" xfId="0" applyFont="1" applyFill="1" applyAlignment="1">
      <alignment horizontal="center"/>
    </xf>
    <xf numFmtId="0" fontId="2" fillId="3" borderId="1" xfId="0" applyFont="1" applyFill="1" applyBorder="1"/>
    <xf numFmtId="0" fontId="4" fillId="3" borderId="1" xfId="0" applyFont="1" applyFill="1" applyBorder="1"/>
    <xf numFmtId="0" fontId="3" fillId="4" borderId="2" xfId="0" applyFont="1" applyFill="1" applyBorder="1" applyAlignment="1">
      <alignment horizontal="center" vertical="center"/>
    </xf>
    <xf numFmtId="0" fontId="11" fillId="4" borderId="3" xfId="0" applyFont="1" applyFill="1" applyBorder="1" applyAlignment="1">
      <alignment vertical="top" wrapText="1"/>
    </xf>
    <xf numFmtId="164" fontId="12" fillId="4" borderId="3" xfId="0" applyNumberFormat="1" applyFont="1" applyFill="1" applyBorder="1" applyAlignment="1">
      <alignment vertical="top" wrapText="1"/>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12" fillId="4" borderId="0" xfId="0" applyFont="1" applyFill="1" applyAlignment="1">
      <alignment horizontal="left" vertical="center" wrapText="1"/>
    </xf>
    <xf numFmtId="0" fontId="12" fillId="4" borderId="5" xfId="0" applyFont="1" applyFill="1" applyBorder="1" applyAlignment="1">
      <alignment vertical="center" shrinkToFit="1"/>
    </xf>
    <xf numFmtId="0" fontId="16" fillId="4" borderId="0" xfId="0" applyFont="1" applyFill="1" applyAlignment="1">
      <alignment vertical="center"/>
    </xf>
    <xf numFmtId="0" fontId="2" fillId="4" borderId="0" xfId="0" applyFont="1" applyFill="1"/>
    <xf numFmtId="0" fontId="4" fillId="4" borderId="0" xfId="0" applyFont="1" applyFill="1"/>
    <xf numFmtId="0" fontId="2" fillId="4" borderId="3" xfId="0" applyFont="1" applyFill="1" applyBorder="1"/>
    <xf numFmtId="0" fontId="4" fillId="4" borderId="3" xfId="0" applyFont="1" applyFill="1" applyBorder="1"/>
    <xf numFmtId="0" fontId="3" fillId="4" borderId="14" xfId="0" applyFont="1" applyFill="1" applyBorder="1" applyAlignment="1">
      <alignment horizontal="center" vertical="center"/>
    </xf>
    <xf numFmtId="0" fontId="20" fillId="2" borderId="0" xfId="0" applyFont="1" applyFill="1" applyAlignment="1">
      <alignment vertical="center"/>
    </xf>
    <xf numFmtId="0" fontId="21" fillId="5" borderId="5" xfId="0" applyFont="1" applyFill="1" applyBorder="1" applyAlignment="1">
      <alignment horizontal="center" vertical="center"/>
    </xf>
    <xf numFmtId="0" fontId="21" fillId="5" borderId="6" xfId="0" applyFont="1" applyFill="1" applyBorder="1" applyAlignment="1">
      <alignment horizontal="center" vertical="center"/>
    </xf>
    <xf numFmtId="14" fontId="12" fillId="2" borderId="11" xfId="0" applyNumberFormat="1" applyFont="1" applyFill="1" applyBorder="1" applyAlignment="1">
      <alignment horizontal="center" vertical="center"/>
    </xf>
    <xf numFmtId="0" fontId="27" fillId="4" borderId="0" xfId="0" applyFont="1" applyFill="1" applyAlignment="1">
      <alignment vertical="center"/>
    </xf>
    <xf numFmtId="0" fontId="26" fillId="4" borderId="0" xfId="0" applyFont="1" applyFill="1" applyAlignment="1">
      <alignment vertical="center" wrapText="1"/>
    </xf>
    <xf numFmtId="0" fontId="12" fillId="4" borderId="0" xfId="0" applyFont="1" applyFill="1" applyAlignment="1">
      <alignment vertical="center" shrinkToFit="1"/>
    </xf>
    <xf numFmtId="9" fontId="30" fillId="4" borderId="3" xfId="1" applyFont="1" applyFill="1" applyBorder="1" applyAlignment="1">
      <alignment horizontal="center" vertical="center" shrinkToFit="1"/>
    </xf>
    <xf numFmtId="9" fontId="30" fillId="4" borderId="0" xfId="1" applyFont="1" applyFill="1" applyBorder="1" applyAlignment="1">
      <alignment horizontal="center" vertical="center" shrinkToFit="1"/>
    </xf>
    <xf numFmtId="0" fontId="12" fillId="4" borderId="0" xfId="0" applyFont="1" applyFill="1" applyAlignment="1">
      <alignment horizontal="left" vertical="top" wrapText="1"/>
    </xf>
    <xf numFmtId="0" fontId="12" fillId="4" borderId="0" xfId="0" quotePrefix="1" applyFont="1" applyFill="1" applyAlignment="1">
      <alignment vertical="center"/>
    </xf>
    <xf numFmtId="0" fontId="10" fillId="4" borderId="0" xfId="0" applyFont="1" applyFill="1" applyAlignment="1">
      <alignment horizontal="left" vertical="center"/>
    </xf>
    <xf numFmtId="0" fontId="32" fillId="4" borderId="0" xfId="0" applyFont="1" applyFill="1" applyAlignment="1">
      <alignment vertical="center" wrapText="1"/>
    </xf>
    <xf numFmtId="0" fontId="2" fillId="2" borderId="13" xfId="0" applyFont="1" applyFill="1" applyBorder="1" applyAlignment="1">
      <alignment horizontal="center" vertical="center" shrinkToFit="1"/>
    </xf>
    <xf numFmtId="0" fontId="15" fillId="4" borderId="0" xfId="0" applyFont="1" applyFill="1" applyAlignment="1">
      <alignment horizontal="right" vertical="center"/>
    </xf>
    <xf numFmtId="0" fontId="15" fillId="4" borderId="5" xfId="0" applyFont="1" applyFill="1" applyBorder="1" applyAlignment="1">
      <alignment horizontal="right" vertical="center" indent="1"/>
    </xf>
    <xf numFmtId="9" fontId="30" fillId="4" borderId="8" xfId="1" applyFont="1" applyFill="1" applyBorder="1" applyAlignment="1">
      <alignment vertical="center" shrinkToFit="1"/>
    </xf>
    <xf numFmtId="0" fontId="3" fillId="6" borderId="6" xfId="0" applyFont="1" applyFill="1" applyBorder="1" applyAlignment="1">
      <alignment horizontal="center" vertical="center"/>
    </xf>
    <xf numFmtId="0" fontId="3" fillId="6" borderId="5" xfId="0" applyFont="1" applyFill="1" applyBorder="1" applyAlignment="1">
      <alignment horizontal="center" vertical="center"/>
    </xf>
    <xf numFmtId="9" fontId="30" fillId="4" borderId="3" xfId="1" applyFont="1" applyFill="1" applyBorder="1" applyAlignment="1">
      <alignment vertical="center" shrinkToFit="1"/>
    </xf>
    <xf numFmtId="0" fontId="12" fillId="4" borderId="0" xfId="0" applyFont="1" applyFill="1" applyAlignment="1">
      <alignment horizontal="right" vertical="top"/>
    </xf>
    <xf numFmtId="0" fontId="14" fillId="2" borderId="13" xfId="0" applyFont="1" applyFill="1" applyBorder="1" applyAlignment="1">
      <alignment horizontal="center" vertical="center" shrinkToFit="1"/>
    </xf>
    <xf numFmtId="0" fontId="34" fillId="4" borderId="0" xfId="0" applyFont="1" applyFill="1" applyAlignment="1">
      <alignment horizontal="center" vertical="center" shrinkToFit="1"/>
    </xf>
    <xf numFmtId="0" fontId="35" fillId="4" borderId="0" xfId="0" applyFont="1" applyFill="1" applyAlignment="1">
      <alignment horizontal="center" vertical="center" shrinkToFit="1"/>
    </xf>
    <xf numFmtId="0" fontId="5" fillId="2" borderId="15" xfId="0" applyFont="1" applyFill="1" applyBorder="1"/>
    <xf numFmtId="0" fontId="38" fillId="4" borderId="0" xfId="0" applyFont="1" applyFill="1" applyAlignment="1">
      <alignment horizontal="center" vertical="center"/>
    </xf>
    <xf numFmtId="0" fontId="27" fillId="4" borderId="0" xfId="0" applyFont="1" applyFill="1"/>
    <xf numFmtId="0" fontId="27" fillId="4" borderId="0" xfId="0" applyFont="1" applyFill="1" applyAlignment="1">
      <alignment wrapText="1"/>
    </xf>
    <xf numFmtId="0" fontId="39" fillId="2" borderId="0" xfId="0" quotePrefix="1" applyFont="1" applyFill="1"/>
    <xf numFmtId="0" fontId="39" fillId="2" borderId="0" xfId="0" applyFont="1" applyFill="1"/>
    <xf numFmtId="0" fontId="29" fillId="2" borderId="0" xfId="0" applyFont="1" applyFill="1" applyAlignment="1">
      <alignment horizontal="right"/>
    </xf>
    <xf numFmtId="0" fontId="40" fillId="2" borderId="0" xfId="0" applyFont="1" applyFill="1" applyAlignment="1">
      <alignment horizontal="right"/>
    </xf>
    <xf numFmtId="0" fontId="23" fillId="5" borderId="0" xfId="0" applyFont="1" applyFill="1" applyAlignment="1">
      <alignment horizontal="center" vertical="center"/>
    </xf>
    <xf numFmtId="0" fontId="22" fillId="5" borderId="0" xfId="0" applyFont="1" applyFill="1" applyAlignment="1">
      <alignment horizontal="center" vertical="center"/>
    </xf>
    <xf numFmtId="0" fontId="2" fillId="2" borderId="15" xfId="0" applyFont="1" applyFill="1" applyBorder="1"/>
    <xf numFmtId="0" fontId="42" fillId="2" borderId="0" xfId="0" applyFont="1" applyFill="1"/>
    <xf numFmtId="0" fontId="43" fillId="2" borderId="0" xfId="0" applyFont="1" applyFill="1" applyAlignment="1">
      <alignment horizontal="right"/>
    </xf>
    <xf numFmtId="0" fontId="7" fillId="2" borderId="0" xfId="0" quotePrefix="1" applyFont="1" applyFill="1"/>
    <xf numFmtId="0" fontId="2" fillId="2" borderId="0" xfId="0" applyFont="1" applyFill="1" applyAlignment="1">
      <alignment shrinkToFit="1"/>
    </xf>
    <xf numFmtId="0" fontId="3" fillId="7" borderId="6" xfId="0" applyFont="1" applyFill="1" applyBorder="1" applyAlignment="1">
      <alignment horizontal="center" vertical="center"/>
    </xf>
    <xf numFmtId="0" fontId="3" fillId="7" borderId="5" xfId="0" applyFont="1" applyFill="1" applyBorder="1" applyAlignment="1">
      <alignment horizontal="center" vertical="center"/>
    </xf>
    <xf numFmtId="0" fontId="45" fillId="2" borderId="0" xfId="0" applyFont="1" applyFill="1" applyAlignment="1">
      <alignment horizontal="center" vertical="center"/>
    </xf>
    <xf numFmtId="0" fontId="5" fillId="2" borderId="0" xfId="0" applyFont="1" applyFill="1" applyAlignment="1">
      <alignment horizontal="left" vertical="center"/>
    </xf>
    <xf numFmtId="0" fontId="12" fillId="6" borderId="0" xfId="0" applyFont="1" applyFill="1" applyAlignment="1">
      <alignment vertical="center" shrinkToFit="1"/>
    </xf>
    <xf numFmtId="0" fontId="12" fillId="6" borderId="0" xfId="0" applyFont="1" applyFill="1" applyAlignment="1">
      <alignment horizontal="left" vertical="top" wrapText="1"/>
    </xf>
    <xf numFmtId="0" fontId="47" fillId="4" borderId="5" xfId="0" applyFont="1" applyFill="1" applyBorder="1" applyAlignment="1">
      <alignment vertical="center" shrinkToFit="1"/>
    </xf>
    <xf numFmtId="9" fontId="12" fillId="4" borderId="12" xfId="0" applyNumberFormat="1" applyFont="1" applyFill="1" applyBorder="1" applyAlignment="1">
      <alignment horizontal="center" vertical="center" shrinkToFit="1"/>
    </xf>
    <xf numFmtId="9" fontId="10" fillId="4" borderId="10" xfId="0" applyNumberFormat="1" applyFont="1" applyFill="1" applyBorder="1" applyAlignment="1">
      <alignment horizontal="center" vertical="center" shrinkToFit="1"/>
    </xf>
    <xf numFmtId="0" fontId="48" fillId="2" borderId="0" xfId="0" applyFont="1" applyFill="1"/>
    <xf numFmtId="0" fontId="3" fillId="2" borderId="0" xfId="0" quotePrefix="1" applyFont="1" applyFill="1" applyAlignment="1">
      <alignment horizontal="center" vertical="center"/>
    </xf>
    <xf numFmtId="0" fontId="2" fillId="2" borderId="16" xfId="0" applyFont="1" applyFill="1" applyBorder="1"/>
    <xf numFmtId="0" fontId="2" fillId="2" borderId="17" xfId="0" applyFont="1" applyFill="1" applyBorder="1"/>
    <xf numFmtId="0" fontId="2" fillId="2" borderId="18" xfId="0" applyFont="1" applyFill="1" applyBorder="1"/>
    <xf numFmtId="0" fontId="49" fillId="4" borderId="0" xfId="0" applyFont="1" applyFill="1"/>
    <xf numFmtId="0" fontId="51" fillId="4" borderId="5" xfId="0" applyFont="1" applyFill="1" applyBorder="1" applyAlignment="1">
      <alignment horizontal="right" vertical="center" indent="1"/>
    </xf>
    <xf numFmtId="0" fontId="58" fillId="2" borderId="13" xfId="0" applyFont="1" applyFill="1" applyBorder="1" applyAlignment="1">
      <alignment horizontal="center" vertical="center" shrinkToFit="1"/>
    </xf>
    <xf numFmtId="0" fontId="28" fillId="4" borderId="0" xfId="0" applyFont="1" applyFill="1" applyAlignment="1">
      <alignment vertical="center"/>
    </xf>
    <xf numFmtId="0" fontId="60" fillId="4" borderId="0" xfId="0" applyFont="1" applyFill="1" applyAlignment="1">
      <alignment horizontal="center" vertical="center"/>
    </xf>
    <xf numFmtId="0" fontId="12" fillId="4" borderId="0" xfId="0" applyFont="1" applyFill="1" applyAlignment="1">
      <alignment horizontal="left" vertical="center" wrapText="1" shrinkToFit="1"/>
    </xf>
    <xf numFmtId="2" fontId="68" fillId="2" borderId="0" xfId="0" applyNumberFormat="1" applyFont="1" applyFill="1"/>
    <xf numFmtId="0" fontId="69" fillId="2" borderId="0" xfId="0" applyFont="1" applyFill="1"/>
    <xf numFmtId="0" fontId="4" fillId="2" borderId="0" xfId="0" quotePrefix="1" applyFont="1" applyFill="1"/>
    <xf numFmtId="14" fontId="2" fillId="2" borderId="0" xfId="0" applyNumberFormat="1" applyFont="1" applyFill="1"/>
    <xf numFmtId="0" fontId="70" fillId="2" borderId="0" xfId="0" applyFont="1" applyFill="1" applyAlignment="1">
      <alignment horizontal="center"/>
    </xf>
    <xf numFmtId="0" fontId="12" fillId="4" borderId="0" xfId="0" applyFont="1" applyFill="1" applyAlignment="1">
      <alignment horizontal="left" vertical="center" wrapText="1" indent="1" shrinkToFit="1"/>
    </xf>
    <xf numFmtId="0" fontId="12" fillId="4" borderId="0" xfId="0" applyFont="1" applyFill="1" applyAlignment="1">
      <alignment vertical="center" wrapText="1" shrinkToFit="1"/>
    </xf>
    <xf numFmtId="0" fontId="3" fillId="6" borderId="9" xfId="0" applyFont="1" applyFill="1" applyBorder="1" applyAlignment="1">
      <alignment horizontal="center" vertical="center"/>
    </xf>
    <xf numFmtId="0" fontId="12" fillId="6" borderId="8" xfId="0" applyFont="1" applyFill="1" applyBorder="1" applyAlignment="1">
      <alignment horizontal="left" vertical="top" wrapText="1"/>
    </xf>
    <xf numFmtId="0" fontId="3" fillId="6" borderId="7" xfId="0" applyFont="1" applyFill="1" applyBorder="1" applyAlignment="1">
      <alignment horizontal="center" vertical="center"/>
    </xf>
    <xf numFmtId="0" fontId="12" fillId="6" borderId="8" xfId="0" applyFont="1" applyFill="1" applyBorder="1" applyAlignment="1">
      <alignment vertical="center" shrinkToFit="1"/>
    </xf>
    <xf numFmtId="0" fontId="73" fillId="4" borderId="0" xfId="0" applyFont="1" applyFill="1" applyAlignment="1">
      <alignment vertical="center" wrapText="1" shrinkToFit="1"/>
    </xf>
    <xf numFmtId="0" fontId="3" fillId="4" borderId="6" xfId="0" applyFont="1" applyFill="1" applyBorder="1" applyAlignment="1">
      <alignment horizontal="center" vertical="top"/>
    </xf>
    <xf numFmtId="0" fontId="3" fillId="4" borderId="5" xfId="0" applyFont="1" applyFill="1" applyBorder="1" applyAlignment="1">
      <alignment horizontal="center" vertical="top"/>
    </xf>
    <xf numFmtId="0" fontId="2" fillId="2" borderId="0" xfId="0" applyFont="1" applyFill="1" applyAlignment="1">
      <alignment vertical="top"/>
    </xf>
    <xf numFmtId="0" fontId="75" fillId="4" borderId="0" xfId="0" applyFont="1" applyFill="1" applyAlignment="1">
      <alignment vertical="center"/>
    </xf>
    <xf numFmtId="0" fontId="76" fillId="4" borderId="0" xfId="0" applyFont="1" applyFill="1" applyAlignment="1">
      <alignment horizontal="left" vertical="top" wrapText="1"/>
    </xf>
    <xf numFmtId="0" fontId="2" fillId="2" borderId="0" xfId="0" applyFont="1" applyFill="1" applyAlignment="1">
      <alignment horizontal="left" indent="1"/>
    </xf>
    <xf numFmtId="0" fontId="2" fillId="2" borderId="25" xfId="0" applyFont="1" applyFill="1" applyBorder="1" applyAlignment="1">
      <alignment horizontal="left" indent="1"/>
    </xf>
    <xf numFmtId="0" fontId="2" fillId="2" borderId="26" xfId="0" applyFont="1" applyFill="1" applyBorder="1" applyAlignment="1">
      <alignment horizontal="left" indent="1"/>
    </xf>
    <xf numFmtId="0" fontId="2" fillId="2" borderId="27" xfId="0" applyFont="1" applyFill="1" applyBorder="1" applyAlignment="1">
      <alignment horizontal="left" indent="1"/>
    </xf>
    <xf numFmtId="0" fontId="3" fillId="4" borderId="0" xfId="0" applyFont="1" applyFill="1" applyAlignment="1">
      <alignment horizontal="center" vertical="center"/>
    </xf>
    <xf numFmtId="0" fontId="64" fillId="4" borderId="0" xfId="0" applyFont="1" applyFill="1" applyAlignment="1">
      <alignment horizontal="center" vertical="center"/>
    </xf>
    <xf numFmtId="0" fontId="5" fillId="2" borderId="0" xfId="0" applyFont="1" applyFill="1" applyAlignment="1">
      <alignment horizontal="center"/>
    </xf>
    <xf numFmtId="0" fontId="80" fillId="2" borderId="0" xfId="0" applyFont="1" applyFill="1" applyAlignment="1">
      <alignment horizontal="center"/>
    </xf>
    <xf numFmtId="2" fontId="2" fillId="2" borderId="0" xfId="0" quotePrefix="1" applyNumberFormat="1" applyFont="1" applyFill="1"/>
    <xf numFmtId="0" fontId="2" fillId="2" borderId="0" xfId="0" quotePrefix="1" applyFont="1" applyFill="1" applyAlignment="1">
      <alignment horizontal="center"/>
    </xf>
    <xf numFmtId="0" fontId="2" fillId="2" borderId="0" xfId="0" quotePrefix="1" applyFont="1" applyFill="1" applyAlignment="1">
      <alignment horizontal="center" shrinkToFit="1"/>
    </xf>
    <xf numFmtId="0" fontId="81" fillId="2" borderId="0" xfId="0" applyFont="1" applyFill="1"/>
    <xf numFmtId="0" fontId="82" fillId="2" borderId="0" xfId="0" applyFont="1" applyFill="1" applyAlignment="1">
      <alignment horizontal="right"/>
    </xf>
    <xf numFmtId="0" fontId="82" fillId="2" borderId="0" xfId="0" applyFont="1" applyFill="1"/>
    <xf numFmtId="0" fontId="80" fillId="2" borderId="0" xfId="0" quotePrefix="1" applyFont="1" applyFill="1" applyAlignment="1">
      <alignment horizontal="center"/>
    </xf>
    <xf numFmtId="0" fontId="64" fillId="4" borderId="0" xfId="0" quotePrefix="1" applyFont="1" applyFill="1" applyAlignment="1">
      <alignment horizontal="center" vertical="center"/>
    </xf>
    <xf numFmtId="9" fontId="64" fillId="4" borderId="0" xfId="1" applyFont="1" applyFill="1" applyBorder="1" applyAlignment="1">
      <alignment horizontal="right" vertical="center" wrapText="1"/>
    </xf>
    <xf numFmtId="164" fontId="86" fillId="6" borderId="0" xfId="0" applyNumberFormat="1" applyFont="1" applyFill="1" applyAlignment="1">
      <alignment horizontal="left" vertical="center" shrinkToFit="1"/>
    </xf>
    <xf numFmtId="14" fontId="4" fillId="2" borderId="0" xfId="0" applyNumberFormat="1" applyFont="1" applyFill="1"/>
    <xf numFmtId="0" fontId="87" fillId="2" borderId="28" xfId="0" applyFont="1" applyFill="1" applyBorder="1" applyAlignment="1">
      <alignment shrinkToFit="1"/>
    </xf>
    <xf numFmtId="0" fontId="3" fillId="4" borderId="9" xfId="0" applyFont="1" applyFill="1" applyBorder="1" applyAlignment="1">
      <alignment horizontal="center" vertical="center"/>
    </xf>
    <xf numFmtId="0" fontId="3" fillId="4" borderId="7" xfId="0" applyFont="1" applyFill="1" applyBorder="1" applyAlignment="1">
      <alignment horizontal="center" vertical="center"/>
    </xf>
    <xf numFmtId="0" fontId="88" fillId="4" borderId="0" xfId="0" applyFont="1" applyFill="1" applyAlignment="1">
      <alignment horizontal="right" vertical="center" indent="1"/>
    </xf>
    <xf numFmtId="0" fontId="59" fillId="4" borderId="0" xfId="0" applyFont="1" applyFill="1" applyAlignment="1">
      <alignment horizontal="left" vertical="center" wrapText="1" shrinkToFit="1"/>
    </xf>
    <xf numFmtId="0" fontId="13" fillId="4" borderId="3" xfId="0" applyFont="1" applyFill="1" applyBorder="1" applyAlignment="1">
      <alignment vertical="center" wrapText="1"/>
    </xf>
    <xf numFmtId="164" fontId="12" fillId="4" borderId="0" xfId="0" applyNumberFormat="1" applyFont="1" applyFill="1" applyAlignment="1">
      <alignment horizontal="left" vertical="top" wrapText="1" shrinkToFit="1"/>
    </xf>
    <xf numFmtId="0" fontId="28" fillId="4" borderId="0" xfId="0" applyFont="1" applyFill="1" applyAlignment="1">
      <alignment horizontal="left" vertical="center"/>
    </xf>
    <xf numFmtId="164" fontId="89" fillId="4" borderId="0" xfId="0" applyNumberFormat="1" applyFont="1" applyFill="1" applyAlignment="1">
      <alignment horizontal="center" vertical="center" shrinkToFit="1"/>
    </xf>
    <xf numFmtId="164" fontId="12" fillId="4" borderId="0" xfId="0" applyNumberFormat="1" applyFont="1" applyFill="1" applyAlignment="1">
      <alignment horizontal="left" vertical="top"/>
    </xf>
    <xf numFmtId="0" fontId="6" fillId="2" borderId="0" xfId="0" applyFont="1" applyFill="1"/>
    <xf numFmtId="0" fontId="90" fillId="2" borderId="0" xfId="0" quotePrefix="1" applyFont="1" applyFill="1"/>
    <xf numFmtId="0" fontId="91" fillId="5" borderId="0" xfId="0" applyFont="1" applyFill="1" applyAlignment="1">
      <alignment horizontal="right" vertical="center" indent="1"/>
    </xf>
    <xf numFmtId="0" fontId="12" fillId="4" borderId="0" xfId="0" applyFont="1" applyFill="1" applyAlignment="1">
      <alignment horizontal="left" vertical="center" indent="1"/>
    </xf>
    <xf numFmtId="0" fontId="12" fillId="4" borderId="0" xfId="0" applyFont="1" applyFill="1" applyAlignment="1">
      <alignment vertical="top" wrapText="1"/>
    </xf>
    <xf numFmtId="0" fontId="93" fillId="2" borderId="29" xfId="0" applyFont="1" applyFill="1" applyBorder="1" applyAlignment="1">
      <alignment horizontal="center" vertical="center" wrapText="1" shrinkToFit="1"/>
    </xf>
    <xf numFmtId="0" fontId="9" fillId="2" borderId="0" xfId="0" applyFont="1" applyFill="1"/>
    <xf numFmtId="0" fontId="80" fillId="2" borderId="0" xfId="0" applyFont="1" applyFill="1"/>
    <xf numFmtId="0" fontId="95" fillId="2" borderId="0" xfId="0" applyFont="1" applyFill="1"/>
    <xf numFmtId="0" fontId="5" fillId="2" borderId="0" xfId="0" applyFont="1" applyFill="1" applyAlignment="1">
      <alignment horizontal="left" indent="1"/>
    </xf>
    <xf numFmtId="0" fontId="2" fillId="2" borderId="0" xfId="0" applyFont="1" applyFill="1" applyAlignment="1">
      <alignment vertical="center"/>
    </xf>
    <xf numFmtId="0" fontId="96" fillId="2" borderId="0" xfId="0" applyFont="1" applyFill="1"/>
    <xf numFmtId="0" fontId="96" fillId="2" borderId="0" xfId="0" applyFont="1" applyFill="1" applyAlignment="1">
      <alignment horizontal="right"/>
    </xf>
    <xf numFmtId="14" fontId="2" fillId="2" borderId="25" xfId="0" applyNumberFormat="1" applyFont="1" applyFill="1" applyBorder="1"/>
    <xf numFmtId="14" fontId="2" fillId="2" borderId="26" xfId="0" applyNumberFormat="1" applyFont="1" applyFill="1" applyBorder="1"/>
    <xf numFmtId="0" fontId="2" fillId="2" borderId="27" xfId="0" applyFont="1" applyFill="1" applyBorder="1"/>
    <xf numFmtId="9" fontId="5" fillId="2" borderId="0" xfId="1" applyFont="1" applyFill="1"/>
    <xf numFmtId="0" fontId="5" fillId="2" borderId="0" xfId="0" applyFont="1" applyFill="1" applyAlignment="1">
      <alignment horizontal="right"/>
    </xf>
    <xf numFmtId="14" fontId="80" fillId="2" borderId="0" xfId="0" applyNumberFormat="1" applyFont="1" applyFill="1"/>
    <xf numFmtId="0" fontId="97" fillId="2" borderId="0" xfId="0" applyFont="1" applyFill="1"/>
    <xf numFmtId="0" fontId="74" fillId="6" borderId="0" xfId="0" applyFont="1" applyFill="1" applyAlignment="1">
      <alignment vertical="center"/>
    </xf>
    <xf numFmtId="0" fontId="3" fillId="9" borderId="6" xfId="0" applyFont="1" applyFill="1" applyBorder="1" applyAlignment="1">
      <alignment horizontal="center" vertical="center"/>
    </xf>
    <xf numFmtId="0" fontId="3" fillId="9" borderId="5" xfId="0" applyFont="1" applyFill="1" applyBorder="1" applyAlignment="1">
      <alignment horizontal="center" vertical="center"/>
    </xf>
    <xf numFmtId="0" fontId="102" fillId="4" borderId="0" xfId="0" applyFont="1" applyFill="1" applyAlignment="1">
      <alignment horizontal="left" vertical="center" wrapText="1" indent="3" shrinkToFit="1"/>
    </xf>
    <xf numFmtId="9" fontId="10" fillId="4" borderId="0" xfId="0" applyNumberFormat="1" applyFont="1" applyFill="1" applyAlignment="1">
      <alignment horizontal="center" vertical="center" wrapText="1" shrinkToFit="1"/>
    </xf>
    <xf numFmtId="0" fontId="12" fillId="4" borderId="0" xfId="0" applyFont="1" applyFill="1" applyAlignment="1">
      <alignment horizontal="right" vertical="center"/>
    </xf>
    <xf numFmtId="0" fontId="82" fillId="2" borderId="0" xfId="0" applyFont="1" applyFill="1" applyAlignment="1">
      <alignment horizontal="center"/>
    </xf>
    <xf numFmtId="0" fontId="12" fillId="4" borderId="33" xfId="0" applyFont="1" applyFill="1" applyBorder="1" applyAlignment="1">
      <alignment horizontal="left" vertical="top"/>
    </xf>
    <xf numFmtId="0" fontId="12" fillId="4" borderId="34" xfId="0" applyFont="1" applyFill="1" applyBorder="1" applyAlignment="1">
      <alignment horizontal="left" vertical="top"/>
    </xf>
    <xf numFmtId="0" fontId="12" fillId="4" borderId="35" xfId="0" applyFont="1" applyFill="1" applyBorder="1" applyAlignment="1">
      <alignment horizontal="left" vertical="top"/>
    </xf>
    <xf numFmtId="0" fontId="43" fillId="2" borderId="0" xfId="0" applyFont="1" applyFill="1"/>
    <xf numFmtId="0" fontId="103" fillId="4" borderId="0" xfId="0" applyFont="1" applyFill="1" applyAlignment="1">
      <alignment vertical="center"/>
    </xf>
    <xf numFmtId="0" fontId="104" fillId="4" borderId="0" xfId="0" applyFont="1" applyFill="1" applyAlignment="1">
      <alignment horizontal="left" vertical="center" indent="11"/>
    </xf>
    <xf numFmtId="0" fontId="105" fillId="2" borderId="0" xfId="0" quotePrefix="1" applyFont="1" applyFill="1" applyAlignment="1">
      <alignment horizontal="center"/>
    </xf>
    <xf numFmtId="1" fontId="2" fillId="2" borderId="0" xfId="0" applyNumberFormat="1" applyFont="1" applyFill="1"/>
    <xf numFmtId="1" fontId="2" fillId="2" borderId="0" xfId="0" applyNumberFormat="1" applyFont="1" applyFill="1" applyAlignment="1">
      <alignment horizontal="right"/>
    </xf>
    <xf numFmtId="1" fontId="105" fillId="2" borderId="0" xfId="0" applyNumberFormat="1" applyFont="1" applyFill="1"/>
    <xf numFmtId="1" fontId="2" fillId="2" borderId="28" xfId="0" applyNumberFormat="1" applyFont="1" applyFill="1" applyBorder="1"/>
    <xf numFmtId="164" fontId="107" fillId="4" borderId="0" xfId="0" applyNumberFormat="1" applyFont="1" applyFill="1" applyAlignment="1">
      <alignment horizontal="right" vertical="center"/>
    </xf>
    <xf numFmtId="0" fontId="69" fillId="10" borderId="0" xfId="0" applyFont="1" applyFill="1"/>
    <xf numFmtId="0" fontId="2" fillId="0" borderId="0" xfId="0" applyFont="1"/>
    <xf numFmtId="1" fontId="5" fillId="2" borderId="15" xfId="0" applyNumberFormat="1" applyFont="1" applyFill="1" applyBorder="1"/>
    <xf numFmtId="0" fontId="5" fillId="2" borderId="41" xfId="0" applyFont="1" applyFill="1" applyBorder="1"/>
    <xf numFmtId="0" fontId="2" fillId="2" borderId="42" xfId="0" applyFont="1" applyFill="1" applyBorder="1"/>
    <xf numFmtId="0" fontId="106" fillId="4" borderId="8" xfId="0" applyFont="1" applyFill="1" applyBorder="1" applyAlignment="1">
      <alignment horizontal="right" vertical="center"/>
    </xf>
    <xf numFmtId="0" fontId="62" fillId="6" borderId="0" xfId="0" applyFont="1" applyFill="1" applyAlignment="1">
      <alignment horizontal="center" vertical="center"/>
    </xf>
    <xf numFmtId="0" fontId="62" fillId="6" borderId="8" xfId="0" applyFont="1" applyFill="1" applyBorder="1" applyAlignment="1">
      <alignment horizontal="center" vertical="center"/>
    </xf>
    <xf numFmtId="0" fontId="85" fillId="6" borderId="0" xfId="0" quotePrefix="1" applyFont="1" applyFill="1" applyAlignment="1">
      <alignment horizontal="left" vertical="center" shrinkToFit="1"/>
    </xf>
    <xf numFmtId="0" fontId="12" fillId="4" borderId="0" xfId="0" applyFont="1" applyFill="1" applyAlignment="1">
      <alignment horizontal="left" vertical="center" wrapText="1"/>
    </xf>
    <xf numFmtId="0" fontId="12" fillId="4" borderId="5" xfId="0" applyFont="1" applyFill="1" applyBorder="1" applyAlignment="1">
      <alignment horizontal="left" vertical="center" wrapText="1"/>
    </xf>
    <xf numFmtId="14" fontId="13" fillId="2" borderId="11" xfId="0" applyNumberFormat="1" applyFont="1" applyFill="1" applyBorder="1" applyAlignment="1">
      <alignment horizontal="left" vertical="top" wrapText="1"/>
    </xf>
    <xf numFmtId="14" fontId="13" fillId="2" borderId="12" xfId="0" applyNumberFormat="1" applyFont="1" applyFill="1" applyBorder="1" applyAlignment="1">
      <alignment horizontal="left" vertical="top" wrapText="1"/>
    </xf>
    <xf numFmtId="14" fontId="13" fillId="2" borderId="10" xfId="0" applyNumberFormat="1" applyFont="1" applyFill="1" applyBorder="1" applyAlignment="1">
      <alignment horizontal="left" vertical="top" wrapText="1"/>
    </xf>
    <xf numFmtId="0" fontId="12" fillId="4" borderId="0" xfId="0" applyFont="1" applyFill="1" applyAlignment="1">
      <alignment horizontal="right" vertical="center" shrinkToFit="1"/>
    </xf>
    <xf numFmtId="0" fontId="12" fillId="4" borderId="5" xfId="0" applyFont="1" applyFill="1" applyBorder="1" applyAlignment="1">
      <alignment horizontal="right" vertical="center" shrinkToFit="1"/>
    </xf>
    <xf numFmtId="0" fontId="12" fillId="2" borderId="11" xfId="0" applyFont="1" applyFill="1" applyBorder="1" applyAlignment="1">
      <alignment horizontal="center" vertical="center" shrinkToFit="1"/>
    </xf>
    <xf numFmtId="0" fontId="12" fillId="2" borderId="12" xfId="0" applyFont="1" applyFill="1" applyBorder="1" applyAlignment="1">
      <alignment horizontal="center" vertical="center" shrinkToFit="1"/>
    </xf>
    <xf numFmtId="0" fontId="12" fillId="2" borderId="10" xfId="0" applyFont="1" applyFill="1" applyBorder="1" applyAlignment="1">
      <alignment horizontal="center" vertical="center" shrinkToFit="1"/>
    </xf>
    <xf numFmtId="0" fontId="12" fillId="4" borderId="9" xfId="0" applyFont="1" applyFill="1" applyBorder="1" applyAlignment="1">
      <alignment horizontal="center" vertical="center" shrinkToFit="1"/>
    </xf>
    <xf numFmtId="0" fontId="12" fillId="4" borderId="8" xfId="0" applyFont="1" applyFill="1" applyBorder="1" applyAlignment="1">
      <alignment horizontal="center" vertical="center" shrinkToFit="1"/>
    </xf>
    <xf numFmtId="0" fontId="12" fillId="4" borderId="7" xfId="0" applyFont="1" applyFill="1" applyBorder="1" applyAlignment="1">
      <alignment horizontal="center" vertical="center" shrinkToFit="1"/>
    </xf>
    <xf numFmtId="0" fontId="13" fillId="2" borderId="11" xfId="0" applyFont="1" applyFill="1" applyBorder="1" applyAlignment="1">
      <alignment horizontal="left" vertical="center" indent="1" shrinkToFit="1"/>
    </xf>
    <xf numFmtId="0" fontId="13" fillId="2" borderId="12" xfId="0" applyFont="1" applyFill="1" applyBorder="1" applyAlignment="1">
      <alignment horizontal="left" vertical="center" indent="1" shrinkToFit="1"/>
    </xf>
    <xf numFmtId="0" fontId="13" fillId="2" borderId="10" xfId="0" applyFont="1" applyFill="1" applyBorder="1" applyAlignment="1">
      <alignment horizontal="left" vertical="center" indent="1" shrinkToFit="1"/>
    </xf>
    <xf numFmtId="0" fontId="16" fillId="4" borderId="12" xfId="0" applyFont="1" applyFill="1" applyBorder="1" applyAlignment="1">
      <alignment horizontal="center" vertical="center"/>
    </xf>
    <xf numFmtId="14" fontId="12" fillId="2" borderId="11" xfId="0" applyNumberFormat="1" applyFont="1" applyFill="1" applyBorder="1" applyAlignment="1">
      <alignment horizontal="center" vertical="center"/>
    </xf>
    <xf numFmtId="14" fontId="12" fillId="2" borderId="10" xfId="0" applyNumberFormat="1" applyFont="1" applyFill="1" applyBorder="1" applyAlignment="1">
      <alignment horizontal="center" vertical="center"/>
    </xf>
    <xf numFmtId="14" fontId="12" fillId="2" borderId="12" xfId="0" applyNumberFormat="1" applyFont="1" applyFill="1" applyBorder="1" applyAlignment="1">
      <alignment horizontal="center" vertical="center"/>
    </xf>
    <xf numFmtId="0" fontId="28" fillId="2" borderId="11" xfId="0" applyFont="1" applyFill="1" applyBorder="1" applyAlignment="1">
      <alignment horizontal="center" vertical="center"/>
    </xf>
    <xf numFmtId="0" fontId="28" fillId="2" borderId="10" xfId="0" applyFont="1" applyFill="1" applyBorder="1" applyAlignment="1">
      <alignment horizontal="center" vertical="center"/>
    </xf>
    <xf numFmtId="0" fontId="76" fillId="4" borderId="0" xfId="0" applyFont="1" applyFill="1" applyAlignment="1">
      <alignment horizontal="left" vertical="top" wrapText="1"/>
    </xf>
    <xf numFmtId="9" fontId="71" fillId="6" borderId="0" xfId="0" applyNumberFormat="1" applyFont="1" applyFill="1" applyAlignment="1">
      <alignment horizontal="right" vertical="center"/>
    </xf>
    <xf numFmtId="0" fontId="15" fillId="4" borderId="8" xfId="0" applyFont="1" applyFill="1" applyBorder="1" applyAlignment="1">
      <alignment horizontal="right" vertical="center" wrapText="1" indent="1"/>
    </xf>
    <xf numFmtId="0" fontId="15" fillId="4" borderId="7" xfId="0" applyFont="1" applyFill="1" applyBorder="1" applyAlignment="1">
      <alignment horizontal="right" vertical="center" wrapText="1" indent="1"/>
    </xf>
    <xf numFmtId="14" fontId="13" fillId="2" borderId="11" xfId="0" applyNumberFormat="1" applyFont="1" applyFill="1" applyBorder="1" applyAlignment="1">
      <alignment horizontal="left" vertical="center" wrapText="1"/>
    </xf>
    <xf numFmtId="14" fontId="13" fillId="2" borderId="12" xfId="0" applyNumberFormat="1" applyFont="1" applyFill="1" applyBorder="1" applyAlignment="1">
      <alignment horizontal="left" vertical="center" wrapText="1"/>
    </xf>
    <xf numFmtId="14" fontId="13" fillId="2" borderId="10" xfId="0" applyNumberFormat="1" applyFont="1" applyFill="1" applyBorder="1" applyAlignment="1">
      <alignment horizontal="left" vertical="center" wrapText="1"/>
    </xf>
    <xf numFmtId="14" fontId="13" fillId="2" borderId="11" xfId="0" applyNumberFormat="1" applyFont="1" applyFill="1" applyBorder="1" applyAlignment="1">
      <alignment horizontal="center" vertical="center" shrinkToFit="1"/>
    </xf>
    <xf numFmtId="14" fontId="13" fillId="2" borderId="12" xfId="0" applyNumberFormat="1" applyFont="1" applyFill="1" applyBorder="1" applyAlignment="1">
      <alignment horizontal="center" vertical="center" shrinkToFit="1"/>
    </xf>
    <xf numFmtId="14" fontId="13" fillId="2" borderId="10" xfId="0" applyNumberFormat="1" applyFont="1" applyFill="1" applyBorder="1" applyAlignment="1">
      <alignment horizontal="center" vertical="center" shrinkToFit="1"/>
    </xf>
    <xf numFmtId="0" fontId="12" fillId="4" borderId="0" xfId="0" quotePrefix="1" applyFont="1" applyFill="1" applyAlignment="1">
      <alignment horizontal="left" vertical="top" wrapText="1"/>
    </xf>
    <xf numFmtId="0" fontId="12" fillId="4" borderId="5" xfId="0" quotePrefix="1" applyFont="1" applyFill="1" applyBorder="1" applyAlignment="1">
      <alignment horizontal="left" vertical="top" wrapText="1"/>
    </xf>
    <xf numFmtId="0" fontId="16" fillId="4" borderId="3" xfId="0" applyFont="1" applyFill="1" applyBorder="1" applyAlignment="1">
      <alignment horizontal="left"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12" xfId="0" applyFont="1" applyFill="1" applyBorder="1" applyAlignment="1">
      <alignment horizontal="center" vertical="center"/>
    </xf>
    <xf numFmtId="0" fontId="50" fillId="2" borderId="10" xfId="0" applyFont="1" applyFill="1" applyBorder="1" applyAlignment="1">
      <alignment horizontal="center" vertical="center"/>
    </xf>
    <xf numFmtId="0" fontId="51" fillId="2" borderId="11" xfId="0" applyFont="1" applyFill="1" applyBorder="1" applyAlignment="1">
      <alignment horizontal="center" vertical="center"/>
    </xf>
    <xf numFmtId="0" fontId="51" fillId="2" borderId="12" xfId="0" applyFont="1" applyFill="1" applyBorder="1" applyAlignment="1">
      <alignment horizontal="center" vertical="center"/>
    </xf>
    <xf numFmtId="0" fontId="12" fillId="4" borderId="0" xfId="0" applyFont="1" applyFill="1" applyAlignment="1">
      <alignment horizontal="left" vertical="top" wrapText="1"/>
    </xf>
    <xf numFmtId="0" fontId="12" fillId="4" borderId="5" xfId="0" applyFont="1" applyFill="1" applyBorder="1" applyAlignment="1">
      <alignment horizontal="left" vertical="top" wrapText="1"/>
    </xf>
    <xf numFmtId="0" fontId="50" fillId="4" borderId="9" xfId="0" applyFont="1" applyFill="1" applyBorder="1" applyAlignment="1">
      <alignment horizontal="center" vertical="center" shrinkToFit="1"/>
    </xf>
    <xf numFmtId="0" fontId="50" fillId="4" borderId="8" xfId="0" applyFont="1" applyFill="1" applyBorder="1" applyAlignment="1">
      <alignment horizontal="center" vertical="center" shrinkToFit="1"/>
    </xf>
    <xf numFmtId="0" fontId="50" fillId="4" borderId="7" xfId="0" applyFont="1" applyFill="1" applyBorder="1" applyAlignment="1">
      <alignment horizontal="center" vertical="center" shrinkToFit="1"/>
    </xf>
    <xf numFmtId="0" fontId="16" fillId="4" borderId="3" xfId="0" applyFont="1" applyFill="1" applyBorder="1" applyAlignment="1">
      <alignment horizontal="center" vertical="center"/>
    </xf>
    <xf numFmtId="14" fontId="13" fillId="2" borderId="2" xfId="0" applyNumberFormat="1" applyFont="1" applyFill="1" applyBorder="1" applyAlignment="1">
      <alignment horizontal="left" vertical="top" wrapText="1"/>
    </xf>
    <xf numFmtId="14" fontId="13" fillId="2" borderId="4" xfId="0" applyNumberFormat="1" applyFont="1" applyFill="1" applyBorder="1" applyAlignment="1">
      <alignment horizontal="center" vertical="center" shrinkToFit="1"/>
    </xf>
    <xf numFmtId="14" fontId="13" fillId="2" borderId="3" xfId="0" applyNumberFormat="1" applyFont="1" applyFill="1" applyBorder="1" applyAlignment="1">
      <alignment horizontal="center" vertical="center" shrinkToFit="1"/>
    </xf>
    <xf numFmtId="14" fontId="13" fillId="2" borderId="2" xfId="0" applyNumberFormat="1" applyFont="1" applyFill="1" applyBorder="1" applyAlignment="1">
      <alignment horizontal="center" vertical="center" shrinkToFit="1"/>
    </xf>
    <xf numFmtId="0" fontId="12" fillId="2" borderId="11" xfId="0" applyFont="1" applyFill="1" applyBorder="1" applyAlignment="1">
      <alignment horizontal="left" vertical="center" indent="1" shrinkToFit="1"/>
    </xf>
    <xf numFmtId="0" fontId="12" fillId="2" borderId="12" xfId="0" applyFont="1" applyFill="1" applyBorder="1" applyAlignment="1">
      <alignment horizontal="left" vertical="center" indent="1" shrinkToFit="1"/>
    </xf>
    <xf numFmtId="0" fontId="24" fillId="5" borderId="9"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1" fillId="5" borderId="6" xfId="0" applyFont="1" applyFill="1" applyBorder="1" applyAlignment="1">
      <alignment horizontal="center" vertical="center"/>
    </xf>
    <xf numFmtId="0" fontId="21" fillId="5" borderId="0" xfId="0" applyFont="1" applyFill="1" applyAlignment="1">
      <alignment horizontal="center" vertical="center"/>
    </xf>
    <xf numFmtId="0" fontId="21" fillId="5" borderId="5" xfId="0" applyFont="1" applyFill="1" applyBorder="1" applyAlignment="1">
      <alignment horizontal="center" vertical="center"/>
    </xf>
    <xf numFmtId="0" fontId="52" fillId="5" borderId="0" xfId="0" applyFont="1" applyFill="1" applyAlignment="1">
      <alignment horizontal="center" vertical="center"/>
    </xf>
    <xf numFmtId="0" fontId="54" fillId="5" borderId="0" xfId="0" applyFont="1" applyFill="1" applyAlignment="1">
      <alignment horizontal="center" vertical="center"/>
    </xf>
    <xf numFmtId="0" fontId="55" fillId="5" borderId="6" xfId="0" applyFont="1" applyFill="1" applyBorder="1" applyAlignment="1">
      <alignment horizontal="left" vertical="center" wrapText="1" indent="1"/>
    </xf>
    <xf numFmtId="0" fontId="55" fillId="5" borderId="0" xfId="0" applyFont="1" applyFill="1" applyAlignment="1">
      <alignment horizontal="left" vertical="center" wrapText="1" indent="1"/>
    </xf>
    <xf numFmtId="0" fontId="55" fillId="5" borderId="5" xfId="0" applyFont="1" applyFill="1" applyBorder="1" applyAlignment="1">
      <alignment horizontal="left" vertical="center" wrapText="1" indent="1"/>
    </xf>
    <xf numFmtId="0" fontId="19" fillId="5" borderId="4"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67" fillId="4" borderId="0" xfId="0" applyFont="1" applyFill="1" applyAlignment="1">
      <alignment horizontal="left" vertical="center"/>
    </xf>
    <xf numFmtId="0" fontId="18" fillId="4" borderId="6" xfId="0" applyFont="1" applyFill="1" applyBorder="1" applyAlignment="1">
      <alignment horizontal="center" vertical="center" shrinkToFit="1"/>
    </xf>
    <xf numFmtId="0" fontId="18" fillId="4" borderId="0" xfId="0" applyFont="1" applyFill="1" applyAlignment="1">
      <alignment horizontal="center" vertical="center" shrinkToFit="1"/>
    </xf>
    <xf numFmtId="0" fontId="18" fillId="4" borderId="5" xfId="0" applyFont="1" applyFill="1" applyBorder="1" applyAlignment="1">
      <alignment horizontal="center" vertical="center" shrinkToFit="1"/>
    </xf>
    <xf numFmtId="0" fontId="61" fillId="6" borderId="0" xfId="0" applyFont="1" applyFill="1" applyAlignment="1">
      <alignment horizontal="left" vertical="center"/>
    </xf>
    <xf numFmtId="0" fontId="15" fillId="4" borderId="0" xfId="0" applyFont="1" applyFill="1" applyAlignment="1">
      <alignment horizontal="left" vertical="center" wrapText="1"/>
    </xf>
    <xf numFmtId="14" fontId="57" fillId="2" borderId="4" xfId="0" applyNumberFormat="1" applyFont="1" applyFill="1" applyBorder="1" applyAlignment="1">
      <alignment horizontal="center" vertical="center" shrinkToFit="1"/>
    </xf>
    <xf numFmtId="14" fontId="57" fillId="2" borderId="3" xfId="0" applyNumberFormat="1" applyFont="1" applyFill="1" applyBorder="1" applyAlignment="1">
      <alignment horizontal="center" vertical="center" shrinkToFit="1"/>
    </xf>
    <xf numFmtId="14" fontId="57" fillId="2" borderId="2" xfId="0" applyNumberFormat="1" applyFont="1" applyFill="1" applyBorder="1" applyAlignment="1">
      <alignment horizontal="center" vertical="center" shrinkToFit="1"/>
    </xf>
    <xf numFmtId="0" fontId="15" fillId="4" borderId="0" xfId="0" applyFont="1" applyFill="1" applyAlignment="1">
      <alignment horizontal="left" vertical="top" wrapText="1"/>
    </xf>
    <xf numFmtId="0" fontId="12" fillId="4" borderId="0" xfId="0" applyFont="1" applyFill="1" applyAlignment="1">
      <alignment horizontal="left" vertical="center" wrapText="1" shrinkToFit="1"/>
    </xf>
    <xf numFmtId="0" fontId="66" fillId="4" borderId="0" xfId="0" applyFont="1" applyFill="1" applyAlignment="1">
      <alignment horizontal="left" vertical="center" wrapText="1" shrinkToFit="1"/>
    </xf>
    <xf numFmtId="0" fontId="33" fillId="4" borderId="0" xfId="0" applyFont="1" applyFill="1" applyAlignment="1">
      <alignment horizontal="center" vertical="center"/>
    </xf>
    <xf numFmtId="164" fontId="44" fillId="7" borderId="0" xfId="0" applyNumberFormat="1" applyFont="1" applyFill="1" applyAlignment="1">
      <alignment horizontal="center" vertical="center"/>
    </xf>
    <xf numFmtId="0" fontId="98" fillId="4" borderId="0" xfId="0" applyFont="1" applyFill="1" applyAlignment="1">
      <alignment horizontal="center" vertical="top" wrapText="1" shrinkToFit="1"/>
    </xf>
    <xf numFmtId="0" fontId="99" fillId="8" borderId="30" xfId="0" applyFont="1" applyFill="1" applyBorder="1" applyAlignment="1">
      <alignment horizontal="center" vertical="center" wrapText="1" shrinkToFit="1"/>
    </xf>
    <xf numFmtId="0" fontId="99" fillId="8" borderId="31" xfId="0" applyFont="1" applyFill="1" applyBorder="1" applyAlignment="1">
      <alignment horizontal="center" vertical="center" wrapText="1" shrinkToFit="1"/>
    </xf>
    <xf numFmtId="0" fontId="99" fillId="8" borderId="32" xfId="0" applyFont="1" applyFill="1" applyBorder="1" applyAlignment="1">
      <alignment horizontal="center" vertical="center" wrapText="1" shrinkToFit="1"/>
    </xf>
    <xf numFmtId="0" fontId="72" fillId="6" borderId="0" xfId="0" applyFont="1" applyFill="1" applyAlignment="1">
      <alignment horizontal="left" vertical="center"/>
    </xf>
    <xf numFmtId="0" fontId="102" fillId="4" borderId="0" xfId="0" applyFont="1" applyFill="1" applyAlignment="1">
      <alignment horizontal="left" vertical="center" wrapText="1" indent="3" shrinkToFit="1"/>
    </xf>
    <xf numFmtId="0" fontId="101" fillId="9" borderId="0" xfId="0" applyFont="1" applyFill="1" applyAlignment="1">
      <alignment horizontal="center" vertical="center"/>
    </xf>
    <xf numFmtId="0" fontId="46" fillId="4" borderId="0" xfId="0" applyFont="1" applyFill="1" applyAlignment="1">
      <alignment horizontal="center" vertical="center"/>
    </xf>
    <xf numFmtId="0" fontId="77" fillId="4" borderId="0" xfId="0" quotePrefix="1" applyFont="1" applyFill="1" applyAlignment="1">
      <alignment horizontal="center" vertical="center" shrinkToFit="1"/>
    </xf>
    <xf numFmtId="1" fontId="12" fillId="4" borderId="0" xfId="0" applyNumberFormat="1" applyFont="1" applyFill="1" applyAlignment="1">
      <alignment horizontal="center" vertical="center" shrinkToFit="1"/>
    </xf>
    <xf numFmtId="0" fontId="12" fillId="4" borderId="0" xfId="0" applyFont="1" applyFill="1" applyAlignment="1">
      <alignment horizontal="center" vertical="center" shrinkToFit="1"/>
    </xf>
    <xf numFmtId="0" fontId="89" fillId="6" borderId="0" xfId="0" applyFont="1" applyFill="1" applyAlignment="1">
      <alignment horizontal="center" vertical="center"/>
    </xf>
    <xf numFmtId="0" fontId="92" fillId="2" borderId="0" xfId="0" applyFont="1" applyFill="1" applyAlignment="1">
      <alignment horizontal="left" vertical="center" indent="1"/>
    </xf>
    <xf numFmtId="0" fontId="98" fillId="4" borderId="0" xfId="0" applyFont="1" applyFill="1" applyAlignment="1">
      <alignment horizontal="left" vertical="top" wrapText="1" shrinkToFit="1"/>
    </xf>
    <xf numFmtId="0" fontId="63" fillId="4" borderId="0" xfId="0" applyFont="1" applyFill="1" applyAlignment="1">
      <alignment horizontal="left" vertical="top" wrapText="1"/>
    </xf>
    <xf numFmtId="0" fontId="12" fillId="4" borderId="0" xfId="0" applyFont="1" applyFill="1" applyAlignment="1">
      <alignment horizontal="left" vertical="center" wrapText="1" indent="1" shrinkToFit="1"/>
    </xf>
    <xf numFmtId="0" fontId="62" fillId="6" borderId="22" xfId="0" applyFont="1" applyFill="1" applyBorder="1" applyAlignment="1">
      <alignment horizontal="center" vertical="center" shrinkToFit="1"/>
    </xf>
    <xf numFmtId="0" fontId="62" fillId="6" borderId="23" xfId="0" applyFont="1" applyFill="1" applyBorder="1" applyAlignment="1">
      <alignment horizontal="center" vertical="center" shrinkToFit="1"/>
    </xf>
    <xf numFmtId="0" fontId="62" fillId="6" borderId="24" xfId="0" applyFont="1" applyFill="1" applyBorder="1" applyAlignment="1">
      <alignment horizontal="center" vertical="center" shrinkToFit="1"/>
    </xf>
    <xf numFmtId="0" fontId="12" fillId="4" borderId="8" xfId="0" applyFont="1" applyFill="1" applyBorder="1" applyAlignment="1">
      <alignment horizontal="left" vertical="center" wrapText="1" shrinkToFit="1"/>
    </xf>
    <xf numFmtId="0" fontId="12" fillId="2" borderId="0" xfId="0" applyFont="1" applyFill="1" applyAlignment="1">
      <alignment horizontal="left" vertical="center" wrapText="1" indent="1" shrinkToFit="1"/>
    </xf>
    <xf numFmtId="165" fontId="12" fillId="2" borderId="0" xfId="0" applyNumberFormat="1" applyFont="1" applyFill="1" applyAlignment="1">
      <alignment horizontal="left" vertical="center" indent="1"/>
    </xf>
    <xf numFmtId="0" fontId="28" fillId="4" borderId="0" xfId="0" applyFont="1" applyFill="1" applyAlignment="1">
      <alignment horizontal="center" vertical="center"/>
    </xf>
    <xf numFmtId="0" fontId="12" fillId="4" borderId="0" xfId="0" applyFont="1" applyFill="1" applyAlignment="1">
      <alignment horizontal="center" vertical="center" wrapText="1" shrinkToFit="1"/>
    </xf>
    <xf numFmtId="164" fontId="89" fillId="4" borderId="0" xfId="0" applyNumberFormat="1" applyFont="1" applyFill="1" applyAlignment="1">
      <alignment horizontal="center" vertical="center" shrinkToFit="1"/>
    </xf>
    <xf numFmtId="164" fontId="73" fillId="4" borderId="0" xfId="0" quotePrefix="1" applyNumberFormat="1" applyFont="1" applyFill="1" applyAlignment="1">
      <alignment horizontal="center" vertical="center" shrinkToFit="1"/>
    </xf>
    <xf numFmtId="164" fontId="73" fillId="4" borderId="0" xfId="0" applyNumberFormat="1" applyFont="1" applyFill="1" applyAlignment="1">
      <alignment horizontal="center" vertical="center" shrinkToFit="1"/>
    </xf>
    <xf numFmtId="0" fontId="100" fillId="6" borderId="22" xfId="0" applyFont="1" applyFill="1" applyBorder="1" applyAlignment="1">
      <alignment horizontal="center" vertical="center" shrinkToFit="1"/>
    </xf>
    <xf numFmtId="0" fontId="100" fillId="6" borderId="23" xfId="0" applyFont="1" applyFill="1" applyBorder="1" applyAlignment="1">
      <alignment horizontal="center" vertical="center" shrinkToFit="1"/>
    </xf>
    <xf numFmtId="0" fontId="100" fillId="6" borderId="24" xfId="0" applyFont="1" applyFill="1" applyBorder="1" applyAlignment="1">
      <alignment horizontal="center" vertical="center" shrinkToFit="1"/>
    </xf>
    <xf numFmtId="0" fontId="79" fillId="4" borderId="0" xfId="0" quotePrefix="1" applyFont="1" applyFill="1" applyAlignment="1">
      <alignment horizontal="center" vertical="center" wrapText="1"/>
    </xf>
    <xf numFmtId="0" fontId="79" fillId="4" borderId="0" xfId="0" applyFont="1" applyFill="1" applyAlignment="1">
      <alignment horizontal="center" vertical="center" wrapText="1"/>
    </xf>
    <xf numFmtId="0" fontId="14" fillId="4" borderId="0" xfId="0" applyFont="1" applyFill="1" applyAlignment="1">
      <alignment horizontal="right" vertical="center"/>
    </xf>
    <xf numFmtId="0" fontId="13" fillId="4" borderId="0" xfId="0" applyFont="1" applyFill="1" applyAlignment="1">
      <alignment horizontal="left" vertical="center" wrapText="1"/>
    </xf>
    <xf numFmtId="0" fontId="64" fillId="4" borderId="0" xfId="0" applyFont="1" applyFill="1" applyAlignment="1">
      <alignment horizontal="center" vertical="center"/>
    </xf>
    <xf numFmtId="0" fontId="14" fillId="4" borderId="0" xfId="0" quotePrefix="1" applyFont="1" applyFill="1" applyAlignment="1">
      <alignment horizontal="center" vertical="center"/>
    </xf>
    <xf numFmtId="0" fontId="14" fillId="4" borderId="0" xfId="0" applyFont="1" applyFill="1" applyAlignment="1">
      <alignment horizontal="center" vertical="center"/>
    </xf>
    <xf numFmtId="0" fontId="83" fillId="4" borderId="0" xfId="0" applyFont="1" applyFill="1" applyAlignment="1">
      <alignment horizontal="left" vertical="center" wrapText="1"/>
    </xf>
    <xf numFmtId="0" fontId="72" fillId="2" borderId="22" xfId="0" applyFont="1" applyFill="1" applyBorder="1" applyAlignment="1">
      <alignment horizontal="center" vertical="center" shrinkToFit="1"/>
    </xf>
    <xf numFmtId="0" fontId="72" fillId="2" borderId="23" xfId="0" applyFont="1" applyFill="1" applyBorder="1" applyAlignment="1">
      <alignment horizontal="center" vertical="center" shrinkToFit="1"/>
    </xf>
    <xf numFmtId="0" fontId="72" fillId="2" borderId="24" xfId="0" applyFont="1" applyFill="1" applyBorder="1" applyAlignment="1">
      <alignment horizontal="center" vertical="center" shrinkToFit="1"/>
    </xf>
    <xf numFmtId="0" fontId="78" fillId="4" borderId="8" xfId="0" applyFont="1" applyFill="1" applyBorder="1" applyAlignment="1">
      <alignment horizontal="center" vertical="center" shrinkToFit="1"/>
    </xf>
    <xf numFmtId="0" fontId="84" fillId="4" borderId="0" xfId="0" applyFont="1" applyFill="1" applyAlignment="1">
      <alignment horizontal="center" vertical="center"/>
    </xf>
    <xf numFmtId="0" fontId="14" fillId="4" borderId="0" xfId="0" quotePrefix="1" applyFont="1" applyFill="1" applyAlignment="1">
      <alignment horizontal="left" vertical="center" wrapText="1" indent="3"/>
    </xf>
    <xf numFmtId="0" fontId="14" fillId="4" borderId="0" xfId="0" applyFont="1" applyFill="1" applyAlignment="1">
      <alignment horizontal="left" vertical="center" wrapText="1" indent="3"/>
    </xf>
    <xf numFmtId="0" fontId="17" fillId="4" borderId="0" xfId="0" applyFont="1" applyFill="1" applyAlignment="1">
      <alignment horizontal="center" vertical="center" wrapText="1" shrinkToFit="1"/>
    </xf>
    <xf numFmtId="0" fontId="79" fillId="4" borderId="0" xfId="0" quotePrefix="1" applyFont="1" applyFill="1" applyAlignment="1">
      <alignment horizontal="center" vertical="center" shrinkToFit="1"/>
    </xf>
    <xf numFmtId="0" fontId="79" fillId="4" borderId="0" xfId="0" applyFont="1" applyFill="1" applyAlignment="1">
      <alignment horizontal="center" vertical="center" shrinkToFit="1"/>
    </xf>
    <xf numFmtId="0" fontId="108" fillId="4" borderId="37" xfId="0" applyFont="1" applyFill="1" applyBorder="1" applyAlignment="1">
      <alignment horizontal="left" vertical="center" wrapText="1" shrinkToFit="1"/>
    </xf>
    <xf numFmtId="0" fontId="108" fillId="4" borderId="38" xfId="0" applyFont="1" applyFill="1" applyBorder="1" applyAlignment="1">
      <alignment horizontal="left" vertical="center" wrapText="1" shrinkToFit="1"/>
    </xf>
    <xf numFmtId="0" fontId="108" fillId="4" borderId="36" xfId="0" applyFont="1" applyFill="1" applyBorder="1" applyAlignment="1">
      <alignment horizontal="center" vertical="center" wrapText="1" shrinkToFit="1"/>
    </xf>
    <xf numFmtId="0" fontId="108" fillId="4" borderId="37" xfId="0" applyFont="1" applyFill="1" applyBorder="1" applyAlignment="1">
      <alignment horizontal="center" vertical="center" wrapText="1" shrinkToFit="1"/>
    </xf>
    <xf numFmtId="0" fontId="59" fillId="4" borderId="39" xfId="0" applyFont="1" applyFill="1" applyBorder="1" applyAlignment="1">
      <alignment horizontal="center" vertical="center" wrapText="1" shrinkToFit="1"/>
    </xf>
    <xf numFmtId="0" fontId="108" fillId="4" borderId="40" xfId="0" applyFont="1" applyFill="1" applyBorder="1" applyAlignment="1">
      <alignment horizontal="center" vertical="center" wrapText="1" shrinkToFit="1"/>
    </xf>
    <xf numFmtId="0" fontId="59" fillId="4" borderId="0" xfId="0" applyFont="1" applyFill="1" applyAlignment="1">
      <alignment horizontal="left" vertical="center" wrapText="1" shrinkToFit="1"/>
    </xf>
    <xf numFmtId="164" fontId="109" fillId="9" borderId="0" xfId="0" applyNumberFormat="1" applyFont="1" applyFill="1" applyAlignment="1">
      <alignment horizontal="center" vertical="center" shrinkToFit="1"/>
    </xf>
    <xf numFmtId="0" fontId="2" fillId="3" borderId="43" xfId="0" applyFont="1" applyFill="1" applyBorder="1"/>
    <xf numFmtId="0" fontId="4" fillId="3" borderId="43" xfId="0" applyFont="1" applyFill="1" applyBorder="1"/>
    <xf numFmtId="0" fontId="102" fillId="2" borderId="19" xfId="0" applyFont="1" applyFill="1" applyBorder="1" applyAlignment="1">
      <alignment horizontal="left" vertical="center" wrapText="1" indent="1"/>
    </xf>
    <xf numFmtId="0" fontId="102" fillId="2" borderId="20" xfId="0" applyFont="1" applyFill="1" applyBorder="1" applyAlignment="1">
      <alignment horizontal="left" vertical="center" wrapText="1" indent="1"/>
    </xf>
    <xf numFmtId="0" fontId="102" fillId="2" borderId="21" xfId="0" applyFont="1" applyFill="1" applyBorder="1" applyAlignment="1">
      <alignment horizontal="left" vertical="center" wrapText="1" indent="1"/>
    </xf>
  </cellXfs>
  <cellStyles count="2">
    <cellStyle name="Normal" xfId="0" builtinId="0"/>
    <cellStyle name="Percent" xfId="1" builtinId="5"/>
  </cellStyles>
  <dxfs count="450">
    <dxf>
      <font>
        <color rgb="FFC8AAE6"/>
      </font>
      <fill>
        <patternFill>
          <bgColor rgb="FF461E64"/>
        </patternFill>
      </fill>
      <border>
        <right style="thin">
          <color theme="0"/>
        </right>
        <top style="thin">
          <color theme="0"/>
        </top>
        <bottom style="thin">
          <color theme="0"/>
        </bottom>
        <vertical/>
        <horizontal/>
      </border>
    </dxf>
    <dxf>
      <font>
        <color rgb="FFC8AAE6"/>
      </font>
      <fill>
        <patternFill>
          <bgColor rgb="FF461E64"/>
        </patternFill>
      </fill>
      <border>
        <right style="thin">
          <color theme="0"/>
        </right>
        <top style="thin">
          <color theme="0"/>
        </top>
        <bottom style="thin">
          <color theme="0"/>
        </bottom>
        <vertical/>
        <horizontal/>
      </border>
    </dxf>
    <dxf>
      <font>
        <color rgb="FFC8AAE6"/>
      </font>
      <fill>
        <patternFill>
          <bgColor rgb="FF461E64"/>
        </patternFill>
      </fill>
      <border>
        <right style="thin">
          <color theme="0"/>
        </right>
        <top style="thin">
          <color theme="0"/>
        </top>
        <bottom style="thin">
          <color theme="0"/>
        </bottom>
        <vertical/>
        <horizontal/>
      </border>
    </dxf>
    <dxf>
      <font>
        <color rgb="FFC8AAE6"/>
      </font>
      <fill>
        <patternFill>
          <bgColor rgb="FF461E64"/>
        </patternFill>
      </fill>
      <border>
        <right style="thin">
          <color theme="0"/>
        </right>
        <top style="thin">
          <color theme="0"/>
        </top>
        <bottom style="thin">
          <color theme="0"/>
        </bottom>
        <vertical/>
        <horizontal/>
      </border>
    </dxf>
    <dxf>
      <font>
        <color rgb="FFC8AAE6"/>
      </font>
      <fill>
        <patternFill>
          <bgColor rgb="FF461E64"/>
        </patternFill>
      </fill>
      <border>
        <right style="thin">
          <color theme="0"/>
        </right>
        <top style="thin">
          <color theme="0"/>
        </top>
        <bottom style="thin">
          <color theme="0"/>
        </bottom>
        <vertical/>
        <horizontal/>
      </border>
    </dxf>
    <dxf>
      <font>
        <color rgb="FFC8AAE6"/>
      </font>
      <fill>
        <patternFill>
          <bgColor rgb="FF7030A0"/>
        </patternFill>
      </fill>
    </dxf>
    <dxf>
      <font>
        <b/>
        <i val="0"/>
      </font>
    </dxf>
    <dxf>
      <font>
        <color theme="1" tint="0.499984740745262"/>
      </font>
    </dxf>
    <dxf>
      <fill>
        <patternFill>
          <bgColor rgb="FF7DFFBE"/>
        </patternFill>
      </fill>
    </dxf>
    <dxf>
      <fill>
        <gradientFill>
          <stop position="0">
            <color rgb="FFC8AAE6"/>
          </stop>
          <stop position="1">
            <color rgb="FF461E64"/>
          </stop>
        </gradientFill>
      </fill>
      <border>
        <left style="thin">
          <color theme="0"/>
        </left>
        <right/>
        <top style="thin">
          <color theme="0"/>
        </top>
        <bottom style="thin">
          <color theme="0"/>
        </bottom>
        <vertical/>
        <horizontal/>
      </border>
    </dxf>
    <dxf>
      <fill>
        <gradientFill>
          <stop position="0">
            <color rgb="FFC8AAE6"/>
          </stop>
          <stop position="1">
            <color rgb="FF461E64"/>
          </stop>
        </gradientFill>
      </fill>
      <border>
        <left style="thin">
          <color theme="0"/>
        </left>
        <right/>
        <top style="thin">
          <color theme="0"/>
        </top>
        <bottom style="thin">
          <color theme="0"/>
        </bottom>
        <vertical/>
        <horizontal/>
      </border>
    </dxf>
    <dxf>
      <fill>
        <gradientFill>
          <stop position="0">
            <color rgb="FFC8AAE6"/>
          </stop>
          <stop position="1">
            <color rgb="FF461E64"/>
          </stop>
        </gradientFill>
      </fill>
      <border>
        <left style="thin">
          <color theme="0"/>
        </left>
        <right/>
        <top style="thin">
          <color theme="0"/>
        </top>
        <bottom style="thin">
          <color theme="0"/>
        </bottom>
        <vertical/>
        <horizontal/>
      </border>
    </dxf>
    <dxf>
      <fill>
        <gradientFill>
          <stop position="0">
            <color rgb="FFC8AAE6"/>
          </stop>
          <stop position="1">
            <color rgb="FF461E64"/>
          </stop>
        </gradientFill>
      </fill>
      <border>
        <left style="thin">
          <color theme="0"/>
        </left>
        <right/>
        <top style="thin">
          <color theme="0"/>
        </top>
        <bottom style="thin">
          <color theme="0"/>
        </bottom>
        <vertical/>
        <horizontal/>
      </border>
    </dxf>
    <dxf>
      <fill>
        <gradientFill>
          <stop position="0">
            <color rgb="FFC8AAE6"/>
          </stop>
          <stop position="1">
            <color rgb="FF461E64"/>
          </stop>
        </gradientFill>
      </fill>
      <border>
        <left style="thin">
          <color theme="0"/>
        </left>
        <right/>
        <top style="thin">
          <color theme="0"/>
        </top>
        <bottom style="thin">
          <color theme="0"/>
        </bottom>
        <vertical/>
        <horizontal/>
      </border>
    </dxf>
    <dxf>
      <font>
        <color rgb="FF461E64"/>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7DFFBE"/>
      </font>
      <fill>
        <patternFill>
          <bgColor rgb="FF006432"/>
        </patternFill>
      </fill>
    </dxf>
    <dxf>
      <font>
        <b/>
        <i val="0"/>
      </font>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0" tint="-0.499984740745262"/>
      </font>
    </dxf>
    <dxf>
      <font>
        <color rgb="FF640000"/>
      </font>
    </dxf>
    <dxf>
      <font>
        <color rgb="FF966400"/>
      </font>
    </dxf>
    <dxf>
      <font>
        <color rgb="FF006432"/>
      </font>
    </dxf>
    <dxf>
      <font>
        <color rgb="FFCCFFCC"/>
      </font>
      <fill>
        <gradientFill>
          <stop position="0">
            <color rgb="FF00B050"/>
          </stop>
          <stop position="1">
            <color rgb="FF006432"/>
          </stop>
        </gradientFill>
      </fill>
      <border>
        <left/>
        <right style="hair">
          <color rgb="FF00B050"/>
        </right>
        <top style="hair">
          <color rgb="FF00B050"/>
        </top>
        <bottom style="hair">
          <color rgb="FF00B050"/>
        </bottom>
      </border>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color theme="9" tint="-0.24994659260841701"/>
      </font>
      <fill>
        <gradientFill>
          <stop position="0">
            <color rgb="FF7DFFBE"/>
          </stop>
          <stop position="0.5">
            <color rgb="FFCCFF99"/>
          </stop>
          <stop position="1">
            <color rgb="FF7DFFBE"/>
          </stop>
        </gradientFill>
      </fill>
    </dxf>
    <dxf>
      <font>
        <color rgb="FF006100"/>
      </font>
      <fill>
        <gradientFill>
          <stop position="0">
            <color rgb="FF7DFFBE"/>
          </stop>
          <stop position="0.5">
            <color rgb="FFCCFFCC"/>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b/>
        <i val="0"/>
      </font>
    </dxf>
    <dxf>
      <font>
        <color rgb="FF9C0006"/>
      </font>
      <fill>
        <gradientFill>
          <stop position="0">
            <color rgb="FF7DFFBE"/>
          </stop>
          <stop position="0.5">
            <color rgb="FFFFCCCC"/>
          </stop>
          <stop position="1">
            <color rgb="FF7DFFBE"/>
          </stop>
        </gradientFill>
      </fill>
    </dxf>
    <dxf>
      <font>
        <color rgb="FF9C5700"/>
      </font>
      <fill>
        <gradientFill>
          <stop position="0">
            <color rgb="FF7DFFBE"/>
          </stop>
          <stop position="0.5">
            <color theme="7" tint="0.59999389629810485"/>
          </stop>
          <stop position="1">
            <color rgb="FF7DFFBE"/>
          </stop>
        </gradientFill>
      </fill>
    </dxf>
    <dxf>
      <font>
        <color rgb="FFB4FFD7"/>
      </font>
      <fill>
        <gradientFill>
          <stop position="0">
            <color rgb="FF006432"/>
          </stop>
          <stop position="0.5">
            <color rgb="FF00B050"/>
          </stop>
          <stop position="1">
            <color rgb="FF006432"/>
          </stop>
        </gradientFill>
      </fill>
    </dxf>
    <dxf>
      <fill>
        <patternFill>
          <bgColor theme="0"/>
        </patternFill>
      </fill>
    </dxf>
    <dxf>
      <font>
        <b/>
        <i val="0"/>
      </font>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ill>
        <patternFill>
          <bgColor rgb="FFB4FFD7"/>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color rgb="FFFFFF00"/>
      </font>
      <fill>
        <patternFill>
          <bgColor rgb="FFFFFF00"/>
        </patternFill>
      </fill>
    </dxf>
    <dxf>
      <font>
        <color rgb="FF00B050"/>
      </font>
      <fill>
        <patternFill>
          <bgColor rgb="FF00B050"/>
        </patternFill>
      </fill>
    </dxf>
    <dxf>
      <font>
        <color rgb="FFCCFFCC"/>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B4FFD7"/>
      </font>
      <fill>
        <gradientFill>
          <stop position="0">
            <color rgb="FF006432"/>
          </stop>
          <stop position="0.5">
            <color rgb="FF00B050"/>
          </stop>
          <stop position="1">
            <color rgb="FF006432"/>
          </stop>
        </gradientFill>
      </fill>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color theme="1" tint="0.34998626667073579"/>
      </font>
    </dxf>
    <dxf>
      <font>
        <b val="0"/>
        <i/>
        <color rgb="FFC00000"/>
      </font>
    </dxf>
    <dxf>
      <font>
        <b val="0"/>
        <i val="0"/>
        <color rgb="FF004221"/>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7DFFBE"/>
      </font>
      <fill>
        <patternFill>
          <bgColor rgb="FF006432"/>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E664"/>
      <color rgb="FF003219"/>
      <color rgb="FF7DFFBE"/>
      <color rgb="FF006432"/>
      <color rgb="FFFFFF00"/>
      <color rgb="FF4B1964"/>
      <color rgb="FF004221"/>
      <color rgb="FFCCFFCC"/>
      <color rgb="FF966400"/>
      <color rgb="FF6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supplement warmup'!A27:N48"/><Relationship Id="rId18" Type="http://schemas.openxmlformats.org/officeDocument/2006/relationships/hyperlink" Target="#RS!A624:N646"/><Relationship Id="rId3" Type="http://schemas.openxmlformats.org/officeDocument/2006/relationships/image" Target="../media/image3.png"/><Relationship Id="rId21" Type="http://schemas.openxmlformats.org/officeDocument/2006/relationships/hyperlink" Target="#PNP!A1:N28"/><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hyperlink" Target="#RS!C119:H119"/><Relationship Id="rId25" Type="http://schemas.openxmlformats.org/officeDocument/2006/relationships/hyperlink" Target="#'full warmup'!B118:M138"/><Relationship Id="rId2" Type="http://schemas.openxmlformats.org/officeDocument/2006/relationships/image" Target="../media/image2.png"/><Relationship Id="rId16" Type="http://schemas.openxmlformats.org/officeDocument/2006/relationships/hyperlink" Target="#'supplement warmup'!A93:N113"/><Relationship Id="rId20" Type="http://schemas.openxmlformats.org/officeDocument/2006/relationships/hyperlink" Target="#'rate me'!A1:N38"/><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hyperlink" Target="#'full warmup'!A690:N707"/><Relationship Id="rId5" Type="http://schemas.openxmlformats.org/officeDocument/2006/relationships/image" Target="../media/image5.png"/><Relationship Id="rId15" Type="http://schemas.openxmlformats.org/officeDocument/2006/relationships/hyperlink" Target="#'supplement warmup'!A71:N92"/><Relationship Id="rId23" Type="http://schemas.openxmlformats.org/officeDocument/2006/relationships/hyperlink" Target="#'full warmup'!A27:N113"/><Relationship Id="rId10" Type="http://schemas.openxmlformats.org/officeDocument/2006/relationships/image" Target="../media/image10.png"/><Relationship Id="rId19" Type="http://schemas.openxmlformats.org/officeDocument/2006/relationships/hyperlink" Target="#'follow-up'!A1:N31"/><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hyperlink" Target="#'supplement warmup'!A49:N70"/><Relationship Id="rId22" Type="http://schemas.openxmlformats.org/officeDocument/2006/relationships/hyperlink" Target="#invite!A1:N37"/></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13</xdr:col>
      <xdr:colOff>18626</xdr:colOff>
      <xdr:row>113</xdr:row>
      <xdr:rowOff>0</xdr:rowOff>
    </xdr:from>
    <xdr:ext cx="6564378" cy="3362551"/>
    <xdr:pic>
      <xdr:nvPicPr>
        <xdr:cNvPr id="2" name="value frame PNP" hidden="1">
          <a:extLst>
            <a:ext uri="{FF2B5EF4-FFF2-40B4-BE49-F238E27FC236}">
              <a16:creationId xmlns:a16="http://schemas.microsoft.com/office/drawing/2014/main" id="{D6968076-60BC-4DBE-B442-115F08B68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15231636"/>
          <a:ext cx="6564378" cy="3362551"/>
        </a:xfrm>
        <a:prstGeom prst="rect">
          <a:avLst/>
        </a:prstGeom>
      </xdr:spPr>
    </xdr:pic>
    <xdr:clientData/>
  </xdr:oneCellAnchor>
  <xdr:oneCellAnchor>
    <xdr:from>
      <xdr:col>14</xdr:col>
      <xdr:colOff>110067</xdr:colOff>
      <xdr:row>113</xdr:row>
      <xdr:rowOff>0</xdr:rowOff>
    </xdr:from>
    <xdr:ext cx="6184744" cy="1505336"/>
    <xdr:pic>
      <xdr:nvPicPr>
        <xdr:cNvPr id="3" name="Picture 2" hidden="1">
          <a:extLst>
            <a:ext uri="{FF2B5EF4-FFF2-40B4-BE49-F238E27FC236}">
              <a16:creationId xmlns:a16="http://schemas.microsoft.com/office/drawing/2014/main" id="{FB8377C6-4995-446A-A5BF-B95C5EF279D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8822267" y="13258800"/>
          <a:ext cx="6184744" cy="1505336"/>
        </a:xfrm>
        <a:prstGeom prst="rect">
          <a:avLst/>
        </a:prstGeom>
      </xdr:spPr>
    </xdr:pic>
    <xdr:clientData/>
  </xdr:oneCellAnchor>
  <xdr:oneCellAnchor>
    <xdr:from>
      <xdr:col>31</xdr:col>
      <xdr:colOff>426720</xdr:colOff>
      <xdr:row>1002</xdr:row>
      <xdr:rowOff>0</xdr:rowOff>
    </xdr:from>
    <xdr:ext cx="873812" cy="867410"/>
    <xdr:pic>
      <xdr:nvPicPr>
        <xdr:cNvPr id="4" name="thumbs down, light red" hidden="1">
          <a:extLst>
            <a:ext uri="{FF2B5EF4-FFF2-40B4-BE49-F238E27FC236}">
              <a16:creationId xmlns:a16="http://schemas.microsoft.com/office/drawing/2014/main" id="{B3B113FF-4B00-40CE-B97F-6C742DAC9F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18020" y="131114800"/>
          <a:ext cx="873812" cy="867410"/>
        </a:xfrm>
        <a:prstGeom prst="rect">
          <a:avLst/>
        </a:prstGeom>
      </xdr:spPr>
    </xdr:pic>
    <xdr:clientData/>
  </xdr:oneCellAnchor>
  <xdr:oneCellAnchor>
    <xdr:from>
      <xdr:col>24</xdr:col>
      <xdr:colOff>231420</xdr:colOff>
      <xdr:row>113</xdr:row>
      <xdr:rowOff>0</xdr:rowOff>
    </xdr:from>
    <xdr:ext cx="871272" cy="927100"/>
    <xdr:pic>
      <xdr:nvPicPr>
        <xdr:cNvPr id="5" name="thumbs up, light green" hidden="1">
          <a:extLst>
            <a:ext uri="{FF2B5EF4-FFF2-40B4-BE49-F238E27FC236}">
              <a16:creationId xmlns:a16="http://schemas.microsoft.com/office/drawing/2014/main" id="{CD33D0C3-56EB-4FDC-8A90-1CD39B30FF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5166620" y="13258800"/>
          <a:ext cx="871272" cy="927100"/>
        </a:xfrm>
        <a:prstGeom prst="rect">
          <a:avLst/>
        </a:prstGeom>
      </xdr:spPr>
    </xdr:pic>
    <xdr:clientData/>
  </xdr:oneCellAnchor>
  <xdr:oneCellAnchor>
    <xdr:from>
      <xdr:col>15</xdr:col>
      <xdr:colOff>22860</xdr:colOff>
      <xdr:row>113</xdr:row>
      <xdr:rowOff>0</xdr:rowOff>
    </xdr:from>
    <xdr:ext cx="5943600" cy="3110484"/>
    <xdr:pic>
      <xdr:nvPicPr>
        <xdr:cNvPr id="6" name="Picture 5" hidden="1">
          <a:extLst>
            <a:ext uri="{FF2B5EF4-FFF2-40B4-BE49-F238E27FC236}">
              <a16:creationId xmlns:a16="http://schemas.microsoft.com/office/drawing/2014/main" id="{A56DC90D-2820-4E40-8234-67B89A4D742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9357360" y="13258800"/>
          <a:ext cx="5943600" cy="3110484"/>
        </a:xfrm>
        <a:prstGeom prst="rect">
          <a:avLst/>
        </a:prstGeom>
      </xdr:spPr>
    </xdr:pic>
    <xdr:clientData/>
  </xdr:oneCellAnchor>
  <xdr:oneCellAnchor>
    <xdr:from>
      <xdr:col>13</xdr:col>
      <xdr:colOff>18626</xdr:colOff>
      <xdr:row>706</xdr:row>
      <xdr:rowOff>0</xdr:rowOff>
    </xdr:from>
    <xdr:ext cx="6450078" cy="3417161"/>
    <xdr:pic>
      <xdr:nvPicPr>
        <xdr:cNvPr id="7" name="value frame PNP" hidden="1">
          <a:extLst>
            <a:ext uri="{FF2B5EF4-FFF2-40B4-BE49-F238E27FC236}">
              <a16:creationId xmlns:a16="http://schemas.microsoft.com/office/drawing/2014/main" id="{F7E22463-A1CD-4D78-A4C3-8033644B6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42538650"/>
          <a:ext cx="6450078" cy="3417161"/>
        </a:xfrm>
        <a:prstGeom prst="rect">
          <a:avLst/>
        </a:prstGeom>
      </xdr:spPr>
    </xdr:pic>
    <xdr:clientData/>
  </xdr:oneCellAnchor>
  <xdr:oneCellAnchor>
    <xdr:from>
      <xdr:col>0</xdr:col>
      <xdr:colOff>110067</xdr:colOff>
      <xdr:row>706</xdr:row>
      <xdr:rowOff>0</xdr:rowOff>
    </xdr:from>
    <xdr:ext cx="6055204" cy="1548516"/>
    <xdr:pic>
      <xdr:nvPicPr>
        <xdr:cNvPr id="8" name="Picture 7" hidden="1">
          <a:extLst>
            <a:ext uri="{FF2B5EF4-FFF2-40B4-BE49-F238E27FC236}">
              <a16:creationId xmlns:a16="http://schemas.microsoft.com/office/drawing/2014/main" id="{634B67D0-703E-49A1-BED8-1BF2A8D6AC0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2538650"/>
          <a:ext cx="6055204" cy="1548516"/>
        </a:xfrm>
        <a:prstGeom prst="rect">
          <a:avLst/>
        </a:prstGeom>
      </xdr:spPr>
    </xdr:pic>
    <xdr:clientData/>
  </xdr:oneCellAnchor>
  <xdr:oneCellAnchor>
    <xdr:from>
      <xdr:col>2</xdr:col>
      <xdr:colOff>426720</xdr:colOff>
      <xdr:row>706</xdr:row>
      <xdr:rowOff>0</xdr:rowOff>
    </xdr:from>
    <xdr:ext cx="848412" cy="914400"/>
    <xdr:pic>
      <xdr:nvPicPr>
        <xdr:cNvPr id="9" name="thumbs down, light red" hidden="1">
          <a:extLst>
            <a:ext uri="{FF2B5EF4-FFF2-40B4-BE49-F238E27FC236}">
              <a16:creationId xmlns:a16="http://schemas.microsoft.com/office/drawing/2014/main" id="{25A34744-D090-4D12-909B-69C0B9C21C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1320" y="42538650"/>
          <a:ext cx="848412" cy="914400"/>
        </a:xfrm>
        <a:prstGeom prst="rect">
          <a:avLst/>
        </a:prstGeom>
      </xdr:spPr>
    </xdr:pic>
    <xdr:clientData/>
  </xdr:oneCellAnchor>
  <xdr:oneCellAnchor>
    <xdr:from>
      <xdr:col>10</xdr:col>
      <xdr:colOff>231420</xdr:colOff>
      <xdr:row>706</xdr:row>
      <xdr:rowOff>0</xdr:rowOff>
    </xdr:from>
    <xdr:ext cx="848412" cy="914400"/>
    <xdr:pic>
      <xdr:nvPicPr>
        <xdr:cNvPr id="10" name="thumbs up, light green" hidden="1">
          <a:extLst>
            <a:ext uri="{FF2B5EF4-FFF2-40B4-BE49-F238E27FC236}">
              <a16:creationId xmlns:a16="http://schemas.microsoft.com/office/drawing/2014/main" id="{6FEA9361-5FFD-432E-B666-EE515A1F61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6454420" y="42538650"/>
          <a:ext cx="848412" cy="914400"/>
        </a:xfrm>
        <a:prstGeom prst="rect">
          <a:avLst/>
        </a:prstGeom>
      </xdr:spPr>
    </xdr:pic>
    <xdr:clientData/>
  </xdr:oneCellAnchor>
  <xdr:oneCellAnchor>
    <xdr:from>
      <xdr:col>1</xdr:col>
      <xdr:colOff>22860</xdr:colOff>
      <xdr:row>706</xdr:row>
      <xdr:rowOff>0</xdr:rowOff>
    </xdr:from>
    <xdr:ext cx="5943600" cy="3110484"/>
    <xdr:pic>
      <xdr:nvPicPr>
        <xdr:cNvPr id="11" name="Picture 10" hidden="1">
          <a:extLst>
            <a:ext uri="{FF2B5EF4-FFF2-40B4-BE49-F238E27FC236}">
              <a16:creationId xmlns:a16="http://schemas.microsoft.com/office/drawing/2014/main" id="{E6593B2D-DCD6-47CA-9032-BB0CE91EE81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45160" y="42538650"/>
          <a:ext cx="5943600" cy="3110484"/>
        </a:xfrm>
        <a:prstGeom prst="rect">
          <a:avLst/>
        </a:prstGeom>
      </xdr:spPr>
    </xdr:pic>
    <xdr:clientData/>
  </xdr:oneCellAnchor>
  <xdr:oneCellAnchor>
    <xdr:from>
      <xdr:col>13</xdr:col>
      <xdr:colOff>18626</xdr:colOff>
      <xdr:row>113</xdr:row>
      <xdr:rowOff>0</xdr:rowOff>
    </xdr:from>
    <xdr:ext cx="6564378" cy="3362551"/>
    <xdr:pic>
      <xdr:nvPicPr>
        <xdr:cNvPr id="19" name="value frame PNP" hidden="1">
          <a:extLst>
            <a:ext uri="{FF2B5EF4-FFF2-40B4-BE49-F238E27FC236}">
              <a16:creationId xmlns:a16="http://schemas.microsoft.com/office/drawing/2014/main" id="{A78DF0E1-A0A9-41DF-B07C-8FBA91776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8526" y="34199086"/>
          <a:ext cx="6564378" cy="3362551"/>
        </a:xfrm>
        <a:prstGeom prst="rect">
          <a:avLst/>
        </a:prstGeom>
      </xdr:spPr>
    </xdr:pic>
    <xdr:clientData/>
  </xdr:oneCellAnchor>
  <xdr:oneCellAnchor>
    <xdr:from>
      <xdr:col>14</xdr:col>
      <xdr:colOff>110067</xdr:colOff>
      <xdr:row>113</xdr:row>
      <xdr:rowOff>0</xdr:rowOff>
    </xdr:from>
    <xdr:ext cx="6184744" cy="1505336"/>
    <xdr:pic>
      <xdr:nvPicPr>
        <xdr:cNvPr id="20" name="Picture 19" hidden="1">
          <a:extLst>
            <a:ext uri="{FF2B5EF4-FFF2-40B4-BE49-F238E27FC236}">
              <a16:creationId xmlns:a16="http://schemas.microsoft.com/office/drawing/2014/main" id="{B18C3762-A45A-40B7-A2F7-5482A0A3453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8822267" y="32410400"/>
          <a:ext cx="6184744" cy="1505336"/>
        </a:xfrm>
        <a:prstGeom prst="rect">
          <a:avLst/>
        </a:prstGeom>
      </xdr:spPr>
    </xdr:pic>
    <xdr:clientData/>
  </xdr:oneCellAnchor>
  <xdr:oneCellAnchor>
    <xdr:from>
      <xdr:col>24</xdr:col>
      <xdr:colOff>231420</xdr:colOff>
      <xdr:row>113</xdr:row>
      <xdr:rowOff>0</xdr:rowOff>
    </xdr:from>
    <xdr:ext cx="871272" cy="927100"/>
    <xdr:pic>
      <xdr:nvPicPr>
        <xdr:cNvPr id="21" name="thumbs up, light green" hidden="1">
          <a:extLst>
            <a:ext uri="{FF2B5EF4-FFF2-40B4-BE49-F238E27FC236}">
              <a16:creationId xmlns:a16="http://schemas.microsoft.com/office/drawing/2014/main" id="{F279CBDE-6E35-41D6-8830-66479C326F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5166620" y="32410400"/>
          <a:ext cx="871272" cy="927100"/>
        </a:xfrm>
        <a:prstGeom prst="rect">
          <a:avLst/>
        </a:prstGeom>
      </xdr:spPr>
    </xdr:pic>
    <xdr:clientData/>
  </xdr:oneCellAnchor>
  <xdr:oneCellAnchor>
    <xdr:from>
      <xdr:col>15</xdr:col>
      <xdr:colOff>22860</xdr:colOff>
      <xdr:row>113</xdr:row>
      <xdr:rowOff>0</xdr:rowOff>
    </xdr:from>
    <xdr:ext cx="5943600" cy="3110484"/>
    <xdr:pic>
      <xdr:nvPicPr>
        <xdr:cNvPr id="22" name="Picture 21" hidden="1">
          <a:extLst>
            <a:ext uri="{FF2B5EF4-FFF2-40B4-BE49-F238E27FC236}">
              <a16:creationId xmlns:a16="http://schemas.microsoft.com/office/drawing/2014/main" id="{32A6A7E4-FA03-40BF-B55D-EFBA7748BF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9357360" y="32410400"/>
          <a:ext cx="5943600" cy="3110484"/>
        </a:xfrm>
        <a:prstGeom prst="rect">
          <a:avLst/>
        </a:prstGeom>
      </xdr:spPr>
    </xdr:pic>
    <xdr:clientData/>
  </xdr:oneCellAnchor>
  <xdr:twoCellAnchor>
    <xdr:from>
      <xdr:col>34</xdr:col>
      <xdr:colOff>165100</xdr:colOff>
      <xdr:row>1007</xdr:row>
      <xdr:rowOff>101600</xdr:rowOff>
    </xdr:from>
    <xdr:to>
      <xdr:col>39</xdr:col>
      <xdr:colOff>488950</xdr:colOff>
      <xdr:row>1029</xdr:row>
      <xdr:rowOff>69850</xdr:rowOff>
    </xdr:to>
    <xdr:sp macro="" textlink="">
      <xdr:nvSpPr>
        <xdr:cNvPr id="23" name="Text Box 1">
          <a:extLst>
            <a:ext uri="{FF2B5EF4-FFF2-40B4-BE49-F238E27FC236}">
              <a16:creationId xmlns:a16="http://schemas.microsoft.com/office/drawing/2014/main" id="{C8275C43-0562-4E5F-94EA-6CA9CDDB7C40}"/>
            </a:ext>
          </a:extLst>
        </xdr:cNvPr>
        <xdr:cNvSpPr txBox="1"/>
      </xdr:nvSpPr>
      <xdr:spPr>
        <a:xfrm>
          <a:off x="16592550" y="294322500"/>
          <a:ext cx="3435350" cy="3657600"/>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spcBef>
              <a:spcPts val="0"/>
            </a:spcBef>
            <a:spcAft>
              <a:spcPts val="0"/>
            </a:spcAft>
          </a:pPr>
          <a:r>
            <a:rPr lang="en-US" sz="3600" spc="180">
              <a:gradFill>
                <a:gsLst>
                  <a:gs pos="0">
                    <a:srgbClr val="006D2A"/>
                  </a:gs>
                  <a:gs pos="50000">
                    <a:srgbClr val="009E41"/>
                  </a:gs>
                  <a:gs pos="100000">
                    <a:srgbClr val="00BD4F"/>
                  </a:gs>
                </a:gsLst>
                <a:lin ang="16200000" scaled="0"/>
              </a:gradFill>
              <a:effectLst>
                <a:outerShdw blurRad="63500" dist="50800" dir="5400000" sx="0" sy="0">
                  <a:srgbClr val="000000">
                    <a:alpha val="50000"/>
                  </a:srgbClr>
                </a:outerShdw>
              </a:effectLst>
              <a:latin typeface="Franklin Gothic Heavy" panose="020B0903020102020204" pitchFamily="34" charset="0"/>
              <a:ea typeface="Times New Roman" panose="02020603050405020304" pitchFamily="18" charset="0"/>
              <a:cs typeface="Times New Roman" panose="02020603050405020304" pitchFamily="18" charset="0"/>
            </a:rPr>
            <a:t>INVITATION</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You are invited to benefit from </a:t>
          </a:r>
          <a:r>
            <a:rPr lang="en-US" sz="1000" b="1" spc="-20">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 which</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is a new professional service for resolving needs. All</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000" spc="-20">
              <a:effectLst/>
              <a:latin typeface="Cambria Math" panose="02040503050406030204" pitchFamily="18" charset="0"/>
              <a:ea typeface="Times New Roman" panose="02020603050405020304" pitchFamily="18" charset="0"/>
              <a:cs typeface="Times New Roman" panose="02020603050405020304" pitchFamily="18" charset="0"/>
            </a:rPr>
            <a:t>other institutions focus more on relieving pain of our</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unmet needs, which risks leaving us in more pain.</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Only </a:t>
          </a:r>
          <a:r>
            <a:rPr lang="en-US" sz="1000" b="1">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aims to fully resolve needs to remove cause for pain. This can bring out more of our potential for </a:t>
          </a:r>
          <a:r>
            <a:rPr lang="en-US" sz="1000" i="1">
              <a:effectLst/>
              <a:latin typeface="Cambria Math" panose="02040503050406030204" pitchFamily="18" charset="0"/>
              <a:ea typeface="Times New Roman" panose="02020603050405020304" pitchFamily="18" charset="0"/>
              <a:cs typeface="Times New Roman" panose="02020603050405020304" pitchFamily="18" charset="0"/>
            </a:rPr>
            <a:t>social love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or mutual respect for each other. </a:t>
          </a:r>
          <a:r>
            <a:rPr lang="en-US" sz="1000" b="1">
              <a:effectLst/>
              <a:latin typeface="Cambria Math" panose="02040503050406030204" pitchFamily="18" charset="0"/>
              <a:ea typeface="Times New Roman" panose="02020603050405020304" pitchFamily="18" charset="0"/>
              <a:cs typeface="Times New Roman" panose="02020603050405020304" pitchFamily="18" charset="0"/>
            </a:rPr>
            <a:t>Need-response</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encourages me to now </a:t>
          </a:r>
          <a:r>
            <a:rPr lang="en-US" sz="1000" spc="30">
              <a:effectLst/>
              <a:latin typeface="Cambria Math" panose="02040503050406030204" pitchFamily="18" charset="0"/>
              <a:ea typeface="Times New Roman" panose="02020603050405020304" pitchFamily="18" charset="0"/>
              <a:cs typeface="Times New Roman" panose="02020603050405020304" pitchFamily="18" charset="0"/>
            </a:rPr>
            <a:t>demonstrate my loving respect for your stated</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needs.</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342900" marR="342900" algn="ctr">
            <a:spcBef>
              <a:spcPts val="0"/>
            </a:spcBef>
            <a:spcAft>
              <a:spcPts val="0"/>
            </a:spcAft>
          </a:pPr>
          <a:r>
            <a:rPr lang="en-US" sz="1050" b="1">
              <a:effectLst/>
              <a:latin typeface="Franklin Gothic Book" panose="020B0503020102020204" pitchFamily="34" charset="0"/>
              <a:ea typeface="Times New Roman" panose="02020603050405020304" pitchFamily="18" charset="0"/>
              <a:cs typeface="Times New Roman" panose="02020603050405020304" pitchFamily="18" charset="0"/>
            </a:rPr>
            <a:t>Is there anything I can do to improve how I respect you and your needs?</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I will await your response before I express how I </a:t>
          </a:r>
          <a:r>
            <a:rPr lang="en-US" sz="1000" spc="-10">
              <a:effectLst/>
              <a:latin typeface="Cambria Math" panose="02040503050406030204" pitchFamily="18" charset="0"/>
              <a:ea typeface="Times New Roman" panose="02020603050405020304" pitchFamily="18" charset="0"/>
              <a:cs typeface="Times New Roman" panose="02020603050405020304" pitchFamily="18" charset="0"/>
            </a:rPr>
            <a:t>think you can improve your respect for me and my</a:t>
          </a:r>
          <a:r>
            <a:rPr lang="en-US" sz="1000">
              <a:effectLst/>
              <a:latin typeface="Cambria Math" panose="02040503050406030204" pitchFamily="18" charset="0"/>
              <a:ea typeface="Times New Roman" panose="02020603050405020304" pitchFamily="18" charset="0"/>
              <a:cs typeface="Times New Roman" panose="02020603050405020304" pitchFamily="18" charset="0"/>
            </a:rPr>
            <a:t> needs, unless you prefer I express that now.”</a:t>
          </a:r>
          <a:endParaRPr lang="en-US" sz="9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clientData/>
  </xdr:twoCellAnchor>
  <xdr:twoCellAnchor>
    <xdr:from>
      <xdr:col>2</xdr:col>
      <xdr:colOff>184150</xdr:colOff>
      <xdr:row>999</xdr:row>
      <xdr:rowOff>88900</xdr:rowOff>
    </xdr:from>
    <xdr:to>
      <xdr:col>17</xdr:col>
      <xdr:colOff>419100</xdr:colOff>
      <xdr:row>1003</xdr:row>
      <xdr:rowOff>0</xdr:rowOff>
    </xdr:to>
    <xdr:sp macro="" textlink="">
      <xdr:nvSpPr>
        <xdr:cNvPr id="37" name="#1" hidden="1">
          <a:extLst>
            <a:ext uri="{FF2B5EF4-FFF2-40B4-BE49-F238E27FC236}">
              <a16:creationId xmlns:a16="http://schemas.microsoft.com/office/drawing/2014/main" id="{9C1FA2E9-C3BB-44E8-9FC9-12C12310C784}"/>
            </a:ext>
          </a:extLst>
        </xdr:cNvPr>
        <xdr:cNvSpPr txBox="1"/>
      </xdr:nvSpPr>
      <xdr:spPr>
        <a:xfrm>
          <a:off x="1428750" y="130651250"/>
          <a:ext cx="9569450" cy="717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twoCellAnchor>
    <xdr:from>
      <xdr:col>2</xdr:col>
      <xdr:colOff>336550</xdr:colOff>
      <xdr:row>1000</xdr:row>
      <xdr:rowOff>76200</xdr:rowOff>
    </xdr:from>
    <xdr:to>
      <xdr:col>18</xdr:col>
      <xdr:colOff>57150</xdr:colOff>
      <xdr:row>1003</xdr:row>
      <xdr:rowOff>0</xdr:rowOff>
    </xdr:to>
    <xdr:sp macro="" textlink="">
      <xdr:nvSpPr>
        <xdr:cNvPr id="38" name="#2" hidden="1">
          <a:extLst>
            <a:ext uri="{FF2B5EF4-FFF2-40B4-BE49-F238E27FC236}">
              <a16:creationId xmlns:a16="http://schemas.microsoft.com/office/drawing/2014/main" id="{FFA12D0F-E6A5-4FB5-B4FB-F7631C38227E}"/>
            </a:ext>
          </a:extLst>
        </xdr:cNvPr>
        <xdr:cNvSpPr txBox="1"/>
      </xdr:nvSpPr>
      <xdr:spPr>
        <a:xfrm>
          <a:off x="1581150" y="130822700"/>
          <a:ext cx="967740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residing in the</a:t>
          </a:r>
          <a:r>
            <a:rPr lang="en-US" sz="1100" baseline="0"/>
            <a:t> U.S., you can launch your own wellness campaign under the jurisdiction of U.S. laws.</a:t>
          </a:r>
        </a:p>
        <a:p>
          <a:r>
            <a:rPr lang="en-US" sz="1100" baseline="0"/>
            <a:t>As someone residing outside of the U.S., we are not yet ready to host a wellness campaign under a different jurisdiction.</a:t>
          </a:r>
          <a:endParaRPr lang="en-US" sz="1100"/>
        </a:p>
      </xdr:txBody>
    </xdr:sp>
    <xdr:clientData/>
  </xdr:twoCellAnchor>
  <xdr:twoCellAnchor>
    <xdr:from>
      <xdr:col>2</xdr:col>
      <xdr:colOff>488950</xdr:colOff>
      <xdr:row>1001</xdr:row>
      <xdr:rowOff>57150</xdr:rowOff>
    </xdr:from>
    <xdr:to>
      <xdr:col>21</xdr:col>
      <xdr:colOff>152400</xdr:colOff>
      <xdr:row>1003</xdr:row>
      <xdr:rowOff>0</xdr:rowOff>
    </xdr:to>
    <xdr:sp macro="" textlink="">
      <xdr:nvSpPr>
        <xdr:cNvPr id="39" name="#3" hidden="1">
          <a:extLst>
            <a:ext uri="{FF2B5EF4-FFF2-40B4-BE49-F238E27FC236}">
              <a16:creationId xmlns:a16="http://schemas.microsoft.com/office/drawing/2014/main" id="{703B40B8-F211-4946-9FBA-0DA6956B08CB}"/>
            </a:ext>
          </a:extLst>
        </xdr:cNvPr>
        <xdr:cNvSpPr txBox="1"/>
      </xdr:nvSpPr>
      <xdr:spPr>
        <a:xfrm>
          <a:off x="1733550" y="130987800"/>
          <a:ext cx="11487150" cy="53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fluent in English</a:t>
          </a:r>
          <a:r>
            <a:rPr lang="en-US" sz="1100" baseline="0"/>
            <a:t>, you can launch your own wellness campaign as it's currently the platform's standard language.</a:t>
          </a:r>
        </a:p>
        <a:p>
          <a:r>
            <a:rPr lang="en-US" sz="1100" baseline="0"/>
            <a:t>As someone not yet fluent in English, and we're not yet multi-language ready, we recommend a proxy fluent in English to lead your wellness campaign.</a:t>
          </a:r>
          <a:endParaRPr lang="en-US" sz="1100"/>
        </a:p>
      </xdr:txBody>
    </xdr:sp>
    <xdr:clientData/>
  </xdr:twoCellAnchor>
  <xdr:twoCellAnchor>
    <xdr:from>
      <xdr:col>3</xdr:col>
      <xdr:colOff>127000</xdr:colOff>
      <xdr:row>1002</xdr:row>
      <xdr:rowOff>38100</xdr:rowOff>
    </xdr:from>
    <xdr:to>
      <xdr:col>18</xdr:col>
      <xdr:colOff>431800</xdr:colOff>
      <xdr:row>1003</xdr:row>
      <xdr:rowOff>0</xdr:rowOff>
    </xdr:to>
    <xdr:sp macro="" textlink="">
      <xdr:nvSpPr>
        <xdr:cNvPr id="40" name="#4" hidden="1">
          <a:extLst>
            <a:ext uri="{FF2B5EF4-FFF2-40B4-BE49-F238E27FC236}">
              <a16:creationId xmlns:a16="http://schemas.microsoft.com/office/drawing/2014/main" id="{2391A4AB-0E47-4581-9A35-1B291A8ECD73}"/>
            </a:ext>
          </a:extLst>
        </xdr:cNvPr>
        <xdr:cNvSpPr txBox="1"/>
      </xdr:nvSpPr>
      <xdr:spPr>
        <a:xfrm>
          <a:off x="1993900" y="131152900"/>
          <a:ext cx="9639300" cy="54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someone currently</a:t>
          </a:r>
          <a:r>
            <a:rPr lang="en-US" sz="1100" baseline="0"/>
            <a:t> </a:t>
          </a:r>
          <a:r>
            <a:rPr lang="en-US" sz="1100"/>
            <a:t>free of diagnosed</a:t>
          </a:r>
          <a:r>
            <a:rPr lang="en-US" sz="1100" baseline="0"/>
            <a:t> personality disorders, you can launch your own wellness campaign.</a:t>
          </a:r>
        </a:p>
        <a:p>
          <a:r>
            <a:rPr lang="en-US" sz="1100" baseline="0"/>
            <a:t>As someone presenting any kind of personality disorder, we require any wellness campaign run by your trusted proxy.</a:t>
          </a:r>
          <a:endParaRPr lang="en-US" sz="1100"/>
        </a:p>
      </xdr:txBody>
    </xdr:sp>
    <xdr:clientData/>
  </xdr:twoCellAnchor>
  <xdr:twoCellAnchor>
    <xdr:from>
      <xdr:col>28</xdr:col>
      <xdr:colOff>57150</xdr:colOff>
      <xdr:row>1028</xdr:row>
      <xdr:rowOff>139700</xdr:rowOff>
    </xdr:from>
    <xdr:to>
      <xdr:col>37</xdr:col>
      <xdr:colOff>393700</xdr:colOff>
      <xdr:row>1032</xdr:row>
      <xdr:rowOff>12700</xdr:rowOff>
    </xdr:to>
    <xdr:sp macro="" textlink="">
      <xdr:nvSpPr>
        <xdr:cNvPr id="51" name="TextBox 50">
          <a:extLst>
            <a:ext uri="{FF2B5EF4-FFF2-40B4-BE49-F238E27FC236}">
              <a16:creationId xmlns:a16="http://schemas.microsoft.com/office/drawing/2014/main" id="{10E4C063-A167-4DDB-BAFA-31853626458C}"/>
            </a:ext>
          </a:extLst>
        </xdr:cNvPr>
        <xdr:cNvSpPr txBox="1"/>
      </xdr:nvSpPr>
      <xdr:spPr>
        <a:xfrm>
          <a:off x="12858750" y="2228272150"/>
          <a:ext cx="542925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Reply to all ten items above to see</a:t>
          </a:r>
          <a:r>
            <a:rPr lang="en-US" sz="1100" baseline="0"/>
            <a:t> your self-assessment score here.</a:t>
          </a:r>
        </a:p>
        <a:p>
          <a:r>
            <a:rPr lang="en-US" sz="1100" baseline="0"/>
            <a:t>Rate as many contacts above to get a reliable responsiveness score.</a:t>
          </a:r>
          <a:endParaRPr lang="en-US" sz="1100"/>
        </a:p>
      </xdr:txBody>
    </xdr:sp>
    <xdr:clientData/>
  </xdr:twoCellAnchor>
  <xdr:oneCellAnchor>
    <xdr:from>
      <xdr:col>15</xdr:col>
      <xdr:colOff>165100</xdr:colOff>
      <xdr:row>113</xdr:row>
      <xdr:rowOff>0</xdr:rowOff>
    </xdr:from>
    <xdr:ext cx="2377447" cy="5852160"/>
    <xdr:pic>
      <xdr:nvPicPr>
        <xdr:cNvPr id="52" name="INVITATON meme" hidden="1">
          <a:extLst>
            <a:ext uri="{FF2B5EF4-FFF2-40B4-BE49-F238E27FC236}">
              <a16:creationId xmlns:a16="http://schemas.microsoft.com/office/drawing/2014/main" id="{AA0229CB-2DEC-4C96-BF39-716891FC9B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99600" y="14916150"/>
          <a:ext cx="2377447" cy="5852160"/>
        </a:xfrm>
        <a:prstGeom prst="rect">
          <a:avLst/>
        </a:prstGeom>
      </xdr:spPr>
    </xdr:pic>
    <xdr:clientData/>
  </xdr:oneCellAnchor>
  <xdr:twoCellAnchor editAs="oneCell">
    <xdr:from>
      <xdr:col>1</xdr:col>
      <xdr:colOff>57148</xdr:colOff>
      <xdr:row>9</xdr:row>
      <xdr:rowOff>50801</xdr:rowOff>
    </xdr:from>
    <xdr:to>
      <xdr:col>3</xdr:col>
      <xdr:colOff>335278</xdr:colOff>
      <xdr:row>13</xdr:row>
      <xdr:rowOff>130827</xdr:rowOff>
    </xdr:to>
    <xdr:pic>
      <xdr:nvPicPr>
        <xdr:cNvPr id="1049" name="Picture 1048">
          <a:extLst>
            <a:ext uri="{FF2B5EF4-FFF2-40B4-BE49-F238E27FC236}">
              <a16:creationId xmlns:a16="http://schemas.microsoft.com/office/drawing/2014/main" id="{D36D68BF-1F7C-5584-34D4-8B6F68FCEE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48" y="4152901"/>
          <a:ext cx="1097280" cy="1096026"/>
        </a:xfrm>
        <a:prstGeom prst="rect">
          <a:avLst/>
        </a:prstGeom>
      </xdr:spPr>
    </xdr:pic>
    <xdr:clientData/>
  </xdr:twoCellAnchor>
  <xdr:twoCellAnchor editAs="oneCell">
    <xdr:from>
      <xdr:col>8</xdr:col>
      <xdr:colOff>194733</xdr:colOff>
      <xdr:row>13</xdr:row>
      <xdr:rowOff>27517</xdr:rowOff>
    </xdr:from>
    <xdr:to>
      <xdr:col>12</xdr:col>
      <xdr:colOff>588632</xdr:colOff>
      <xdr:row>22</xdr:row>
      <xdr:rowOff>210397</xdr:rowOff>
    </xdr:to>
    <xdr:pic>
      <xdr:nvPicPr>
        <xdr:cNvPr id="1083" name="Picture 1082">
          <a:extLst>
            <a:ext uri="{FF2B5EF4-FFF2-40B4-BE49-F238E27FC236}">
              <a16:creationId xmlns:a16="http://schemas.microsoft.com/office/drawing/2014/main" id="{0901AB9D-D02C-0909-5B47-13D703E54EC5}"/>
            </a:ext>
          </a:extLst>
        </xdr:cNvPr>
        <xdr:cNvPicPr>
          <a:picLocks noChangeAspect="1"/>
        </xdr:cNvPicPr>
      </xdr:nvPicPr>
      <xdr:blipFill rotWithShape="1">
        <a:blip xmlns:r="http://schemas.openxmlformats.org/officeDocument/2006/relationships" r:embed="rId8"/>
        <a:srcRect l="9006" t="8796" r="8967" b="13194"/>
        <a:stretch/>
      </xdr:blipFill>
      <xdr:spPr>
        <a:xfrm>
          <a:off x="3699933" y="5145617"/>
          <a:ext cx="2451299" cy="2468880"/>
        </a:xfrm>
        <a:prstGeom prst="rect">
          <a:avLst/>
        </a:prstGeom>
      </xdr:spPr>
    </xdr:pic>
    <xdr:clientData/>
  </xdr:twoCellAnchor>
  <xdr:twoCellAnchor editAs="oneCell">
    <xdr:from>
      <xdr:col>7</xdr:col>
      <xdr:colOff>126999</xdr:colOff>
      <xdr:row>28</xdr:row>
      <xdr:rowOff>476251</xdr:rowOff>
    </xdr:from>
    <xdr:to>
      <xdr:col>13</xdr:col>
      <xdr:colOff>1844</xdr:colOff>
      <xdr:row>33</xdr:row>
      <xdr:rowOff>565151</xdr:rowOff>
    </xdr:to>
    <xdr:pic>
      <xdr:nvPicPr>
        <xdr:cNvPr id="1085" name="Picture 1084">
          <a:extLst>
            <a:ext uri="{FF2B5EF4-FFF2-40B4-BE49-F238E27FC236}">
              <a16:creationId xmlns:a16="http://schemas.microsoft.com/office/drawing/2014/main" id="{B9A2B221-9A61-D47E-9C80-56EEC2C12973}"/>
            </a:ext>
          </a:extLst>
        </xdr:cNvPr>
        <xdr:cNvPicPr>
          <a:picLocks noChangeAspect="1"/>
        </xdr:cNvPicPr>
      </xdr:nvPicPr>
      <xdr:blipFill rotWithShape="1">
        <a:blip xmlns:r="http://schemas.openxmlformats.org/officeDocument/2006/relationships" r:embed="rId9"/>
        <a:srcRect l="9397" t="8961" r="8633" b="13609"/>
        <a:stretch/>
      </xdr:blipFill>
      <xdr:spPr>
        <a:xfrm>
          <a:off x="3117849" y="9912351"/>
          <a:ext cx="3170495" cy="3200400"/>
        </a:xfrm>
        <a:prstGeom prst="rect">
          <a:avLst/>
        </a:prstGeom>
      </xdr:spPr>
    </xdr:pic>
    <xdr:clientData/>
  </xdr:twoCellAnchor>
  <xdr:twoCellAnchor editAs="oneCell">
    <xdr:from>
      <xdr:col>7</xdr:col>
      <xdr:colOff>0</xdr:colOff>
      <xdr:row>51</xdr:row>
      <xdr:rowOff>101602</xdr:rowOff>
    </xdr:from>
    <xdr:to>
      <xdr:col>12</xdr:col>
      <xdr:colOff>606251</xdr:colOff>
      <xdr:row>56</xdr:row>
      <xdr:rowOff>2</xdr:rowOff>
    </xdr:to>
    <xdr:pic>
      <xdr:nvPicPr>
        <xdr:cNvPr id="1086" name="Picture 1085">
          <a:extLst>
            <a:ext uri="{FF2B5EF4-FFF2-40B4-BE49-F238E27FC236}">
              <a16:creationId xmlns:a16="http://schemas.microsoft.com/office/drawing/2014/main" id="{D338900A-153D-1331-CC43-C11F5074CC6F}"/>
            </a:ext>
          </a:extLst>
        </xdr:cNvPr>
        <xdr:cNvPicPr>
          <a:picLocks noChangeAspect="1"/>
        </xdr:cNvPicPr>
      </xdr:nvPicPr>
      <xdr:blipFill rotWithShape="1">
        <a:blip xmlns:r="http://schemas.openxmlformats.org/officeDocument/2006/relationships" r:embed="rId10"/>
        <a:srcRect l="9233" t="8961" r="8495" b="13609"/>
        <a:stretch/>
      </xdr:blipFill>
      <xdr:spPr>
        <a:xfrm>
          <a:off x="2990850" y="18554702"/>
          <a:ext cx="3178001" cy="3200400"/>
        </a:xfrm>
        <a:prstGeom prst="rect">
          <a:avLst/>
        </a:prstGeom>
      </xdr:spPr>
    </xdr:pic>
    <xdr:clientData/>
  </xdr:twoCellAnchor>
  <xdr:twoCellAnchor editAs="oneCell">
    <xdr:from>
      <xdr:col>7</xdr:col>
      <xdr:colOff>0</xdr:colOff>
      <xdr:row>73</xdr:row>
      <xdr:rowOff>179919</xdr:rowOff>
    </xdr:from>
    <xdr:to>
      <xdr:col>12</xdr:col>
      <xdr:colOff>590024</xdr:colOff>
      <xdr:row>78</xdr:row>
      <xdr:rowOff>78319</xdr:rowOff>
    </xdr:to>
    <xdr:pic>
      <xdr:nvPicPr>
        <xdr:cNvPr id="1087" name="Picture 1086">
          <a:extLst>
            <a:ext uri="{FF2B5EF4-FFF2-40B4-BE49-F238E27FC236}">
              <a16:creationId xmlns:a16="http://schemas.microsoft.com/office/drawing/2014/main" id="{83E70761-2D4D-1830-4B28-537BFB9FA626}"/>
            </a:ext>
          </a:extLst>
        </xdr:cNvPr>
        <xdr:cNvPicPr>
          <a:picLocks noChangeAspect="1"/>
        </xdr:cNvPicPr>
      </xdr:nvPicPr>
      <xdr:blipFill rotWithShape="1">
        <a:blip xmlns:r="http://schemas.openxmlformats.org/officeDocument/2006/relationships" r:embed="rId11"/>
        <a:srcRect l="9233" t="8960" r="8664" b="13375"/>
        <a:stretch/>
      </xdr:blipFill>
      <xdr:spPr>
        <a:xfrm>
          <a:off x="3016250" y="27082752"/>
          <a:ext cx="3182941" cy="3200400"/>
        </a:xfrm>
        <a:prstGeom prst="rect">
          <a:avLst/>
        </a:prstGeom>
      </xdr:spPr>
    </xdr:pic>
    <xdr:clientData/>
  </xdr:twoCellAnchor>
  <xdr:twoCellAnchor editAs="oneCell">
    <xdr:from>
      <xdr:col>7</xdr:col>
      <xdr:colOff>107951</xdr:colOff>
      <xdr:row>94</xdr:row>
      <xdr:rowOff>565150</xdr:rowOff>
    </xdr:from>
    <xdr:to>
      <xdr:col>12</xdr:col>
      <xdr:colOff>702355</xdr:colOff>
      <xdr:row>99</xdr:row>
      <xdr:rowOff>654050</xdr:rowOff>
    </xdr:to>
    <xdr:pic>
      <xdr:nvPicPr>
        <xdr:cNvPr id="1088" name="Picture 1087">
          <a:extLst>
            <a:ext uri="{FF2B5EF4-FFF2-40B4-BE49-F238E27FC236}">
              <a16:creationId xmlns:a16="http://schemas.microsoft.com/office/drawing/2014/main" id="{9496C87B-8EFE-973C-3F1D-C60113CB015C}"/>
            </a:ext>
          </a:extLst>
        </xdr:cNvPr>
        <xdr:cNvPicPr>
          <a:picLocks noChangeAspect="1"/>
        </xdr:cNvPicPr>
      </xdr:nvPicPr>
      <xdr:blipFill rotWithShape="1">
        <a:blip xmlns:r="http://schemas.openxmlformats.org/officeDocument/2006/relationships" r:embed="rId12"/>
        <a:srcRect l="9233" t="8960" r="8551" b="13375"/>
        <a:stretch/>
      </xdr:blipFill>
      <xdr:spPr>
        <a:xfrm>
          <a:off x="3098801" y="35337750"/>
          <a:ext cx="3166154" cy="3200400"/>
        </a:xfrm>
        <a:prstGeom prst="rect">
          <a:avLst/>
        </a:prstGeom>
      </xdr:spPr>
    </xdr:pic>
    <xdr:clientData/>
  </xdr:twoCellAnchor>
  <xdr:twoCellAnchor>
    <xdr:from>
      <xdr:col>0</xdr:col>
      <xdr:colOff>0</xdr:colOff>
      <xdr:row>33</xdr:row>
      <xdr:rowOff>635000</xdr:rowOff>
    </xdr:from>
    <xdr:to>
      <xdr:col>4</xdr:col>
      <xdr:colOff>241300</xdr:colOff>
      <xdr:row>35</xdr:row>
      <xdr:rowOff>63500</xdr:rowOff>
    </xdr:to>
    <xdr:sp macro="" textlink="">
      <xdr:nvSpPr>
        <xdr:cNvPr id="1089" name="TextBox 1088">
          <a:extLst>
            <a:ext uri="{FF2B5EF4-FFF2-40B4-BE49-F238E27FC236}">
              <a16:creationId xmlns:a16="http://schemas.microsoft.com/office/drawing/2014/main" id="{9CD81BF6-D107-46F7-95A5-923C070515D5}"/>
            </a:ext>
          </a:extLst>
        </xdr:cNvPr>
        <xdr:cNvSpPr txBox="1"/>
      </xdr:nvSpPr>
      <xdr:spPr>
        <a:xfrm>
          <a:off x="0" y="13182600"/>
          <a:ext cx="16891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Degree of their responsiveness </a:t>
          </a:r>
        </a:p>
      </xdr:txBody>
    </xdr:sp>
    <xdr:clientData/>
  </xdr:twoCellAnchor>
  <xdr:twoCellAnchor>
    <xdr:from>
      <xdr:col>9</xdr:col>
      <xdr:colOff>127000</xdr:colOff>
      <xdr:row>35</xdr:row>
      <xdr:rowOff>57149</xdr:rowOff>
    </xdr:from>
    <xdr:to>
      <xdr:col>11</xdr:col>
      <xdr:colOff>469900</xdr:colOff>
      <xdr:row>41</xdr:row>
      <xdr:rowOff>38100</xdr:rowOff>
    </xdr:to>
    <xdr:sp macro="" textlink="">
      <xdr:nvSpPr>
        <xdr:cNvPr id="1091" name="TextBox 1090">
          <a:extLst>
            <a:ext uri="{FF2B5EF4-FFF2-40B4-BE49-F238E27FC236}">
              <a16:creationId xmlns:a16="http://schemas.microsoft.com/office/drawing/2014/main" id="{097B1C77-B8CE-ECAE-F52B-05F8696E1B36}"/>
            </a:ext>
          </a:extLst>
        </xdr:cNvPr>
        <xdr:cNvSpPr txBox="1"/>
      </xdr:nvSpPr>
      <xdr:spPr>
        <a:xfrm>
          <a:off x="4146550" y="13620749"/>
          <a:ext cx="13716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Days it</a:t>
          </a:r>
          <a:r>
            <a:rPr lang="en-US" sz="1200" b="1" baseline="0">
              <a:latin typeface="Arial" panose="020B0604020202020204" pitchFamily="34" charset="0"/>
              <a:cs typeface="Arial" panose="020B0604020202020204" pitchFamily="34" charset="0"/>
            </a:rPr>
            <a:t> takes to reply to you</a:t>
          </a:r>
          <a:r>
            <a:rPr lang="en-US" sz="1200" b="1">
              <a:latin typeface="Arial" panose="020B0604020202020204" pitchFamily="34" charset="0"/>
              <a:cs typeface="Arial" panose="020B0604020202020204" pitchFamily="34" charset="0"/>
            </a:rPr>
            <a:t>:</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0 days = 0%</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1 day = 1%</a:t>
          </a:r>
        </a:p>
        <a:p>
          <a:pPr lvl="0" algn="l">
            <a:lnSpc>
              <a:spcPts val="1200"/>
            </a:lnSpc>
          </a:pPr>
          <a:r>
            <a:rPr lang="en-US" sz="1100" b="0">
              <a:latin typeface="Arial" panose="020B0604020202020204" pitchFamily="34" charset="0"/>
              <a:cs typeface="Arial" panose="020B0604020202020204" pitchFamily="34" charset="0"/>
            </a:rPr>
            <a:t>   2 days = 2%</a:t>
          </a:r>
        </a:p>
        <a:p>
          <a:pPr lvl="0" algn="l">
            <a:lnSpc>
              <a:spcPts val="1200"/>
            </a:lnSpc>
          </a:pPr>
          <a:r>
            <a:rPr lang="en-US" sz="1100" b="0">
              <a:latin typeface="Arial" panose="020B0604020202020204" pitchFamily="34" charset="0"/>
              <a:cs typeface="Arial" panose="020B0604020202020204" pitchFamily="34" charset="0"/>
            </a:rPr>
            <a:t>   3 days = 3%</a:t>
          </a:r>
        </a:p>
        <a:p>
          <a:pPr lvl="0" algn="l">
            <a:lnSpc>
              <a:spcPts val="1200"/>
            </a:lnSpc>
          </a:pPr>
          <a:r>
            <a:rPr lang="en-US" sz="1100" b="0" baseline="0">
              <a:latin typeface="Arial" panose="020B0604020202020204" pitchFamily="34" charset="0"/>
              <a:cs typeface="Arial" panose="020B0604020202020204" pitchFamily="34" charset="0"/>
            </a:rPr>
            <a:t>   4 days = 4%</a:t>
          </a:r>
        </a:p>
        <a:p>
          <a:pPr lvl="0" algn="l">
            <a:lnSpc>
              <a:spcPts val="1200"/>
            </a:lnSpc>
          </a:pPr>
          <a:r>
            <a:rPr lang="en-US" sz="1100" b="0" baseline="0">
              <a:latin typeface="Arial" panose="020B0604020202020204" pitchFamily="34" charset="0"/>
              <a:cs typeface="Arial" panose="020B0604020202020204" pitchFamily="34" charset="0"/>
            </a:rPr>
            <a:t>   and so forth</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254000</xdr:colOff>
      <xdr:row>80</xdr:row>
      <xdr:rowOff>190499</xdr:rowOff>
    </xdr:from>
    <xdr:to>
      <xdr:col>12</xdr:col>
      <xdr:colOff>603250</xdr:colOff>
      <xdr:row>85</xdr:row>
      <xdr:rowOff>234950</xdr:rowOff>
    </xdr:to>
    <xdr:sp macro="" textlink="">
      <xdr:nvSpPr>
        <xdr:cNvPr id="1093" name="TextBox 1092">
          <a:extLst>
            <a:ext uri="{FF2B5EF4-FFF2-40B4-BE49-F238E27FC236}">
              <a16:creationId xmlns:a16="http://schemas.microsoft.com/office/drawing/2014/main" id="{D7DEFCD1-D51E-44C8-80EF-9AC91B2530F3}"/>
            </a:ext>
          </a:extLst>
        </xdr:cNvPr>
        <xdr:cNvSpPr txBox="1"/>
      </xdr:nvSpPr>
      <xdr:spPr>
        <a:xfrm>
          <a:off x="2730500" y="30899099"/>
          <a:ext cx="3435350" cy="1314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30" baseline="0">
              <a:latin typeface="Arial" panose="020B0604020202020204" pitchFamily="34" charset="0"/>
              <a:cs typeface="Arial" panose="020B0604020202020204" pitchFamily="34" charset="0"/>
            </a:rPr>
            <a:t>Degrees of their responsiveness to your need:</a:t>
          </a:r>
        </a:p>
        <a:p>
          <a:r>
            <a:rPr lang="en-US" sz="1200" b="1">
              <a:latin typeface="Arial" panose="020B0604020202020204" pitchFamily="34" charset="0"/>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firm yes</a:t>
          </a:r>
          <a:r>
            <a:rPr lang="en-US" sz="1100">
              <a:solidFill>
                <a:schemeClr val="dk1"/>
              </a:solidFill>
              <a:effectLst/>
              <a:latin typeface="Arial" panose="020B0604020202020204" pitchFamily="34" charset="0"/>
              <a:ea typeface="+mn-ea"/>
              <a:cs typeface="Arial" panose="020B0604020202020204" pitchFamily="34" charset="0"/>
            </a:rPr>
            <a:t>: </a:t>
          </a:r>
          <a:r>
            <a:rPr lang="en-US" sz="1100" spc="-30" baseline="0">
              <a:solidFill>
                <a:schemeClr val="dk1"/>
              </a:solidFill>
              <a:effectLst/>
              <a:latin typeface="Arial" panose="020B0604020202020204" pitchFamily="34" charset="0"/>
              <a:ea typeface="+mn-ea"/>
              <a:cs typeface="Arial" panose="020B0604020202020204" pitchFamily="34" charset="0"/>
            </a:rPr>
            <a:t>eager to accommodate this need - 100%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soft yes</a:t>
          </a:r>
          <a:r>
            <a:rPr lang="en-US" sz="1100">
              <a:solidFill>
                <a:schemeClr val="dk1"/>
              </a:solidFill>
              <a:effectLst/>
              <a:latin typeface="Arial" panose="020B0604020202020204" pitchFamily="34" charset="0"/>
              <a:ea typeface="+mn-ea"/>
              <a:cs typeface="Arial" panose="020B0604020202020204" pitchFamily="34" charset="0"/>
            </a:rPr>
            <a:t>: might accommodate this need - 80%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equivocal</a:t>
          </a:r>
          <a:r>
            <a:rPr lang="en-US" sz="1100">
              <a:solidFill>
                <a:schemeClr val="dk1"/>
              </a:solidFill>
              <a:effectLst/>
              <a:latin typeface="Arial" panose="020B0604020202020204" pitchFamily="34" charset="0"/>
              <a:ea typeface="+mn-ea"/>
              <a:cs typeface="Arial" panose="020B0604020202020204" pitchFamily="34" charset="0"/>
            </a:rPr>
            <a:t>: unsure if can accommodate - 60%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soft no</a:t>
          </a:r>
          <a:r>
            <a:rPr lang="en-US" sz="1100">
              <a:solidFill>
                <a:schemeClr val="dk1"/>
              </a:solidFill>
              <a:effectLst/>
              <a:latin typeface="Arial" panose="020B0604020202020204" pitchFamily="34" charset="0"/>
              <a:ea typeface="+mn-ea"/>
              <a:cs typeface="Arial" panose="020B0604020202020204" pitchFamily="34" charset="0"/>
            </a:rPr>
            <a:t>: cannot accommodate at this time - 40%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hard no</a:t>
          </a:r>
          <a:r>
            <a:rPr lang="en-US" sz="1100">
              <a:solidFill>
                <a:schemeClr val="dk1"/>
              </a:solidFill>
              <a:effectLst/>
              <a:latin typeface="Arial" panose="020B0604020202020204" pitchFamily="34" charset="0"/>
              <a:ea typeface="+mn-ea"/>
              <a:cs typeface="Arial" panose="020B0604020202020204" pitchFamily="34" charset="0"/>
            </a:rPr>
            <a:t>: </a:t>
          </a:r>
          <a:r>
            <a:rPr lang="en-US" sz="1100" spc="-30" baseline="0">
              <a:solidFill>
                <a:schemeClr val="dk1"/>
              </a:solidFill>
              <a:effectLst/>
              <a:latin typeface="Arial" panose="020B0604020202020204" pitchFamily="34" charset="0"/>
              <a:ea typeface="+mn-ea"/>
              <a:cs typeface="Arial" panose="020B0604020202020204" pitchFamily="34" charset="0"/>
            </a:rPr>
            <a:t>will not accommodate this need at all - 20%</a:t>
          </a:r>
        </a:p>
        <a:p>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no response</a:t>
          </a:r>
          <a:r>
            <a:rPr lang="en-US" sz="1100" b="0">
              <a:solidFill>
                <a:schemeClr val="dk1"/>
              </a:solidFill>
              <a:effectLst/>
              <a:latin typeface="Arial" panose="020B0604020202020204" pitchFamily="34" charset="0"/>
              <a:ea typeface="+mn-ea"/>
              <a:cs typeface="Arial" panose="020B0604020202020204" pitchFamily="34" charset="0"/>
            </a:rPr>
            <a:t> - 0%</a:t>
          </a:r>
          <a:endParaRPr lang="en-US" sz="1100" b="1">
            <a:solidFill>
              <a:schemeClr val="dk1"/>
            </a:solidFill>
            <a:effectLst/>
            <a:latin typeface="Arial" panose="020B0604020202020204" pitchFamily="34" charset="0"/>
            <a:ea typeface="+mn-ea"/>
            <a:cs typeface="Arial" panose="020B0604020202020204" pitchFamily="34" charset="0"/>
          </a:endParaRPr>
        </a:p>
        <a:p>
          <a:pPr lvl="0" algn="l"/>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50800</xdr:colOff>
      <xdr:row>80</xdr:row>
      <xdr:rowOff>196850</xdr:rowOff>
    </xdr:from>
    <xdr:to>
      <xdr:col>6</xdr:col>
      <xdr:colOff>336550</xdr:colOff>
      <xdr:row>85</xdr:row>
      <xdr:rowOff>169562</xdr:rowOff>
    </xdr:to>
    <xdr:sp macro="" textlink="">
      <xdr:nvSpPr>
        <xdr:cNvPr id="1095" name="Text Box 1">
          <a:extLst>
            <a:ext uri="{FF2B5EF4-FFF2-40B4-BE49-F238E27FC236}">
              <a16:creationId xmlns:a16="http://schemas.microsoft.com/office/drawing/2014/main" id="{6EC08054-5A53-0B13-852F-9D73D3157320}"/>
            </a:ext>
          </a:extLst>
        </xdr:cNvPr>
        <xdr:cNvSpPr txBox="1"/>
      </xdr:nvSpPr>
      <xdr:spPr>
        <a:xfrm>
          <a:off x="165100" y="30905450"/>
          <a:ext cx="2647950" cy="124271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Degrees of their receptivity:</a:t>
          </a:r>
          <a:endParaRPr lang="en-US" sz="1200">
            <a:effectLst/>
            <a:latin typeface="Arial" panose="020B060402020202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fully receptive: 90%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moderately receptive: 74%</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r>
            <a:rPr lang="en-US" sz="1100" spc="-70" baseline="0">
              <a:solidFill>
                <a:srgbClr val="000000"/>
              </a:solidFill>
              <a:effectLst/>
              <a:latin typeface="Arial" panose="020B0604020202020204" pitchFamily="34" charset="0"/>
              <a:ea typeface="Times New Roman" panose="02020603050405020304" pitchFamily="18" charset="0"/>
              <a:cs typeface="Arial" panose="020B0604020202020204" pitchFamily="34" charset="0"/>
            </a:rPr>
            <a:t>neither receptive nor dismissive: 56%</a:t>
          </a:r>
          <a:endParaRPr lang="en-US" sz="1100" spc="-70" baseline="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somewhat dismissive: 38%</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completely dismissive: 19%</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unknown: 0%</a:t>
          </a:r>
          <a:endParaRPr lang="en-US"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79</xdr:row>
      <xdr:rowOff>19050</xdr:rowOff>
    </xdr:from>
    <xdr:to>
      <xdr:col>13</xdr:col>
      <xdr:colOff>107950</xdr:colOff>
      <xdr:row>80</xdr:row>
      <xdr:rowOff>63500</xdr:rowOff>
    </xdr:to>
    <xdr:sp macro="" textlink="">
      <xdr:nvSpPr>
        <xdr:cNvPr id="1096" name="TextBox 1095">
          <a:extLst>
            <a:ext uri="{FF2B5EF4-FFF2-40B4-BE49-F238E27FC236}">
              <a16:creationId xmlns:a16="http://schemas.microsoft.com/office/drawing/2014/main" id="{2AB64F0C-E79A-1826-13D9-5DDC47336F40}"/>
            </a:ext>
          </a:extLst>
        </xdr:cNvPr>
        <xdr:cNvSpPr txBox="1"/>
      </xdr:nvSpPr>
      <xdr:spPr>
        <a:xfrm>
          <a:off x="0" y="3047365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Average of their degree of receptivity and</a:t>
          </a:r>
          <a:r>
            <a:rPr lang="en-US" sz="1200" b="1">
              <a:solidFill>
                <a:schemeClr val="dk1"/>
              </a:solidFill>
              <a:effectLst/>
              <a:latin typeface="Arial" panose="020B0604020202020204" pitchFamily="34" charset="0"/>
              <a:ea typeface="+mn-ea"/>
              <a:cs typeface="Arial" panose="020B0604020202020204" pitchFamily="34" charset="0"/>
            </a:rPr>
            <a:t> their responsiveness =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317500</xdr:colOff>
      <xdr:row>58</xdr:row>
      <xdr:rowOff>19050</xdr:rowOff>
    </xdr:from>
    <xdr:to>
      <xdr:col>10</xdr:col>
      <xdr:colOff>215900</xdr:colOff>
      <xdr:row>62</xdr:row>
      <xdr:rowOff>245762</xdr:rowOff>
    </xdr:to>
    <xdr:sp macro="" textlink="">
      <xdr:nvSpPr>
        <xdr:cNvPr id="1097" name="Text Box 1">
          <a:extLst>
            <a:ext uri="{FF2B5EF4-FFF2-40B4-BE49-F238E27FC236}">
              <a16:creationId xmlns:a16="http://schemas.microsoft.com/office/drawing/2014/main" id="{048C7363-B061-4A1A-BF57-B61577F054E4}"/>
            </a:ext>
          </a:extLst>
        </xdr:cNvPr>
        <xdr:cNvSpPr txBox="1"/>
      </xdr:nvSpPr>
      <xdr:spPr>
        <a:xfrm>
          <a:off x="1765300" y="22282150"/>
          <a:ext cx="2984500" cy="124271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pPr>
          <a:r>
            <a:rPr lang="en-US" sz="12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Their satisfaction level:</a:t>
          </a:r>
          <a:endParaRPr lang="en-US" sz="1200" b="1">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fully appreciated: 100%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moderately appreciated: 80%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neither appreciate nor disappoint: 60%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somewhat disappointed: 40%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completely disappointed: 20%</a:t>
          </a:r>
          <a:endParaRPr lang="en-US" sz="1100">
            <a:effectLst/>
            <a:latin typeface="Arial" panose="020B0604020202020204" pitchFamily="34" charset="0"/>
            <a:ea typeface="Calibri" panose="020F0502020204030204" pitchFamily="34" charset="0"/>
            <a:cs typeface="Arial" panose="020B0604020202020204" pitchFamily="34" charset="0"/>
          </a:endParaRPr>
        </a:p>
        <a:p>
          <a:pPr marL="0" marR="0">
            <a:spcBef>
              <a:spcPts val="0"/>
            </a:spcBef>
            <a:spcAft>
              <a:spcPts val="0"/>
            </a:spcAft>
          </a:pPr>
          <a:r>
            <a:rPr lang="en-US"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unknown: 0%</a:t>
          </a:r>
          <a:endParaRPr lang="en-US"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56</xdr:row>
      <xdr:rowOff>215900</xdr:rowOff>
    </xdr:from>
    <xdr:to>
      <xdr:col>13</xdr:col>
      <xdr:colOff>107950</xdr:colOff>
      <xdr:row>58</xdr:row>
      <xdr:rowOff>6350</xdr:rowOff>
    </xdr:to>
    <xdr:sp macro="" textlink="">
      <xdr:nvSpPr>
        <xdr:cNvPr id="1098" name="TextBox 1097">
          <a:extLst>
            <a:ext uri="{FF2B5EF4-FFF2-40B4-BE49-F238E27FC236}">
              <a16:creationId xmlns:a16="http://schemas.microsoft.com/office/drawing/2014/main" id="{00CF6996-760A-F4AE-EB40-57EA455F9625}"/>
            </a:ext>
          </a:extLst>
        </xdr:cNvPr>
        <xdr:cNvSpPr txBox="1"/>
      </xdr:nvSpPr>
      <xdr:spPr>
        <a:xfrm>
          <a:off x="0" y="2197100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dk1"/>
              </a:solidFill>
              <a:effectLst/>
              <a:latin typeface="Arial" panose="020B0604020202020204" pitchFamily="34" charset="0"/>
              <a:ea typeface="+mn-ea"/>
              <a:cs typeface="Arial" panose="020B0604020202020204" pitchFamily="34" charset="0"/>
            </a:rPr>
            <a:t>Their</a:t>
          </a:r>
          <a:r>
            <a:rPr lang="en-US" sz="1200" b="1" baseline="0">
              <a:solidFill>
                <a:schemeClr val="dk1"/>
              </a:solidFill>
              <a:effectLst/>
              <a:latin typeface="Arial" panose="020B0604020202020204" pitchFamily="34" charset="0"/>
              <a:ea typeface="+mn-ea"/>
              <a:cs typeface="Arial" panose="020B0604020202020204" pitchFamily="34" charset="0"/>
            </a:rPr>
            <a:t> satisfaction level </a:t>
          </a:r>
          <a:r>
            <a:rPr lang="en-US" sz="1200" b="1">
              <a:solidFill>
                <a:schemeClr val="dk1"/>
              </a:solidFill>
              <a:effectLst/>
              <a:latin typeface="Arial" panose="020B0604020202020204" pitchFamily="34" charset="0"/>
              <a:ea typeface="+mn-ea"/>
              <a:cs typeface="Arial" panose="020B0604020202020204" pitchFamily="34" charset="0"/>
            </a:rPr>
            <a:t>= responsive score (emotional response not factored in yet)</a:t>
          </a:r>
          <a:endParaRPr lang="en-US" sz="1200" b="1">
            <a:latin typeface="Arial" panose="020B0604020202020204" pitchFamily="34" charset="0"/>
            <a:cs typeface="Arial" panose="020B0604020202020204" pitchFamily="34" charset="0"/>
          </a:endParaRPr>
        </a:p>
      </xdr:txBody>
    </xdr:sp>
    <xdr:clientData/>
  </xdr:twoCellAnchor>
  <xdr:twoCellAnchor>
    <xdr:from>
      <xdr:col>0</xdr:col>
      <xdr:colOff>0</xdr:colOff>
      <xdr:row>100</xdr:row>
      <xdr:rowOff>69850</xdr:rowOff>
    </xdr:from>
    <xdr:to>
      <xdr:col>13</xdr:col>
      <xdr:colOff>107950</xdr:colOff>
      <xdr:row>101</xdr:row>
      <xdr:rowOff>114300</xdr:rowOff>
    </xdr:to>
    <xdr:sp macro="" textlink="">
      <xdr:nvSpPr>
        <xdr:cNvPr id="1099" name="TextBox 1098">
          <a:extLst>
            <a:ext uri="{FF2B5EF4-FFF2-40B4-BE49-F238E27FC236}">
              <a16:creationId xmlns:a16="http://schemas.microsoft.com/office/drawing/2014/main" id="{B4D71394-7289-44CF-B275-B020B2A87576}"/>
            </a:ext>
          </a:extLst>
        </xdr:cNvPr>
        <xdr:cNvSpPr txBox="1"/>
      </xdr:nvSpPr>
      <xdr:spPr>
        <a:xfrm>
          <a:off x="0" y="38715950"/>
          <a:ext cx="63944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Degree of their responsiveness </a:t>
          </a:r>
          <a:r>
            <a:rPr lang="en-US" sz="1200" b="1">
              <a:solidFill>
                <a:schemeClr val="dk1"/>
              </a:solidFill>
              <a:effectLst/>
              <a:latin typeface="Arial" panose="020B0604020202020204" pitchFamily="34" charset="0"/>
              <a:ea typeface="+mn-ea"/>
              <a:cs typeface="Arial" panose="020B0604020202020204" pitchFamily="34" charset="0"/>
            </a:rPr>
            <a:t>— days for them to respond =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2</xdr:col>
      <xdr:colOff>279401</xdr:colOff>
      <xdr:row>101</xdr:row>
      <xdr:rowOff>158749</xdr:rowOff>
    </xdr:from>
    <xdr:to>
      <xdr:col>5</xdr:col>
      <xdr:colOff>199391</xdr:colOff>
      <xdr:row>107</xdr:row>
      <xdr:rowOff>97789</xdr:rowOff>
    </xdr:to>
    <xdr:sp macro="" textlink="">
      <xdr:nvSpPr>
        <xdr:cNvPr id="1100" name="TextBox 1099">
          <a:extLst>
            <a:ext uri="{FF2B5EF4-FFF2-40B4-BE49-F238E27FC236}">
              <a16:creationId xmlns:a16="http://schemas.microsoft.com/office/drawing/2014/main" id="{7A13539C-A776-4CF0-A64A-B7985D864856}"/>
            </a:ext>
          </a:extLst>
        </xdr:cNvPr>
        <xdr:cNvSpPr txBox="1"/>
      </xdr:nvSpPr>
      <xdr:spPr>
        <a:xfrm>
          <a:off x="698501" y="39058849"/>
          <a:ext cx="146304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Degrees of their responsiveness:</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Firm yes = 100%</a:t>
          </a:r>
        </a:p>
        <a:p>
          <a:pPr lvl="0" algn="l">
            <a:lnSpc>
              <a:spcPts val="1200"/>
            </a:lnSpc>
          </a:pPr>
          <a:r>
            <a:rPr lang="en-US" sz="1100" b="0">
              <a:latin typeface="Arial" panose="020B0604020202020204" pitchFamily="34" charset="0"/>
              <a:cs typeface="Arial" panose="020B0604020202020204" pitchFamily="34" charset="0"/>
            </a:rPr>
            <a:t>   Soft yes = 80%</a:t>
          </a:r>
        </a:p>
        <a:p>
          <a:pPr lvl="0" algn="l">
            <a:lnSpc>
              <a:spcPts val="1200"/>
            </a:lnSpc>
          </a:pPr>
          <a:r>
            <a:rPr lang="en-US" sz="1100" b="0">
              <a:latin typeface="Arial" panose="020B0604020202020204" pitchFamily="34" charset="0"/>
              <a:cs typeface="Arial" panose="020B0604020202020204" pitchFamily="34" charset="0"/>
            </a:rPr>
            <a:t>   Equivocal = 60%</a:t>
          </a:r>
        </a:p>
        <a:p>
          <a:pPr lvl="0" algn="l">
            <a:lnSpc>
              <a:spcPts val="1200"/>
            </a:lnSpc>
          </a:pPr>
          <a:r>
            <a:rPr lang="en-US" sz="1100" b="0" baseline="0">
              <a:latin typeface="Arial" panose="020B0604020202020204" pitchFamily="34" charset="0"/>
              <a:cs typeface="Arial" panose="020B0604020202020204" pitchFamily="34" charset="0"/>
            </a:rPr>
            <a:t>   Soft no = 40%</a:t>
          </a:r>
        </a:p>
        <a:p>
          <a:pPr lvl="0" algn="l">
            <a:lnSpc>
              <a:spcPts val="1200"/>
            </a:lnSpc>
          </a:pPr>
          <a:r>
            <a:rPr lang="en-US" sz="1100" b="0" baseline="0">
              <a:latin typeface="Arial" panose="020B0604020202020204" pitchFamily="34" charset="0"/>
              <a:cs typeface="Arial" panose="020B0604020202020204" pitchFamily="34" charset="0"/>
            </a:rPr>
            <a:t>   Firm no = 20%</a:t>
          </a:r>
        </a:p>
        <a:p>
          <a:pPr lvl="0" algn="l">
            <a:lnSpc>
              <a:spcPts val="1200"/>
            </a:lnSpc>
          </a:pPr>
          <a:r>
            <a:rPr lang="en-US" sz="1100" b="0" baseline="0">
              <a:latin typeface="Arial" panose="020B0604020202020204" pitchFamily="34" charset="0"/>
              <a:cs typeface="Arial" panose="020B0604020202020204" pitchFamily="34" charset="0"/>
            </a:rPr>
            <a:t>   No reply = 0%</a:t>
          </a:r>
          <a:endParaRPr lang="en-US" sz="1100" b="0">
            <a:latin typeface="Arial" panose="020B0604020202020204" pitchFamily="34" charset="0"/>
            <a:cs typeface="Arial" panose="020B0604020202020204" pitchFamily="34" charset="0"/>
          </a:endParaRPr>
        </a:p>
      </xdr:txBody>
    </xdr:sp>
    <xdr:clientData/>
  </xdr:twoCellAnchor>
  <xdr:twoCellAnchor>
    <xdr:from>
      <xdr:col>7</xdr:col>
      <xdr:colOff>127000</xdr:colOff>
      <xdr:row>101</xdr:row>
      <xdr:rowOff>158749</xdr:rowOff>
    </xdr:from>
    <xdr:to>
      <xdr:col>9</xdr:col>
      <xdr:colOff>469900</xdr:colOff>
      <xdr:row>107</xdr:row>
      <xdr:rowOff>97789</xdr:rowOff>
    </xdr:to>
    <xdr:sp macro="" textlink="">
      <xdr:nvSpPr>
        <xdr:cNvPr id="1101" name="TextBox 1100">
          <a:extLst>
            <a:ext uri="{FF2B5EF4-FFF2-40B4-BE49-F238E27FC236}">
              <a16:creationId xmlns:a16="http://schemas.microsoft.com/office/drawing/2014/main" id="{3C1445EA-D24F-45B4-A3C4-BD1FE5FF64C0}"/>
            </a:ext>
          </a:extLst>
        </xdr:cNvPr>
        <xdr:cNvSpPr txBox="1"/>
      </xdr:nvSpPr>
      <xdr:spPr>
        <a:xfrm>
          <a:off x="3117850" y="39058849"/>
          <a:ext cx="13716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Days it</a:t>
          </a:r>
          <a:r>
            <a:rPr lang="en-US" sz="1200" b="1" baseline="0">
              <a:latin typeface="Arial" panose="020B0604020202020204" pitchFamily="34" charset="0"/>
              <a:cs typeface="Arial" panose="020B0604020202020204" pitchFamily="34" charset="0"/>
            </a:rPr>
            <a:t> takes to reply to you</a:t>
          </a:r>
          <a:r>
            <a:rPr lang="en-US" sz="1200" b="1">
              <a:latin typeface="Arial" panose="020B0604020202020204" pitchFamily="34" charset="0"/>
              <a:cs typeface="Arial" panose="020B0604020202020204" pitchFamily="34" charset="0"/>
            </a:rPr>
            <a:t>:</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0 days = 0%</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1 day = 1%</a:t>
          </a:r>
        </a:p>
        <a:p>
          <a:pPr lvl="0" algn="l">
            <a:lnSpc>
              <a:spcPts val="1200"/>
            </a:lnSpc>
          </a:pPr>
          <a:r>
            <a:rPr lang="en-US" sz="1100" b="0">
              <a:latin typeface="Arial" panose="020B0604020202020204" pitchFamily="34" charset="0"/>
              <a:cs typeface="Arial" panose="020B0604020202020204" pitchFamily="34" charset="0"/>
            </a:rPr>
            <a:t>   2 days = 2%</a:t>
          </a:r>
        </a:p>
        <a:p>
          <a:pPr lvl="0" algn="l">
            <a:lnSpc>
              <a:spcPts val="1200"/>
            </a:lnSpc>
          </a:pPr>
          <a:r>
            <a:rPr lang="en-US" sz="1100" b="0">
              <a:latin typeface="Arial" panose="020B0604020202020204" pitchFamily="34" charset="0"/>
              <a:cs typeface="Arial" panose="020B0604020202020204" pitchFamily="34" charset="0"/>
            </a:rPr>
            <a:t>   3 days = 3%</a:t>
          </a:r>
        </a:p>
        <a:p>
          <a:pPr lvl="0" algn="l">
            <a:lnSpc>
              <a:spcPts val="1200"/>
            </a:lnSpc>
          </a:pPr>
          <a:r>
            <a:rPr lang="en-US" sz="1100" b="0" baseline="0">
              <a:latin typeface="Arial" panose="020B0604020202020204" pitchFamily="34" charset="0"/>
              <a:cs typeface="Arial" panose="020B0604020202020204" pitchFamily="34" charset="0"/>
            </a:rPr>
            <a:t>   4 days = 4%</a:t>
          </a:r>
        </a:p>
        <a:p>
          <a:pPr lvl="0" algn="l">
            <a:lnSpc>
              <a:spcPts val="1200"/>
            </a:lnSpc>
          </a:pPr>
          <a:r>
            <a:rPr lang="en-US" sz="1100" b="0" baseline="0">
              <a:latin typeface="Arial" panose="020B0604020202020204" pitchFamily="34" charset="0"/>
              <a:cs typeface="Arial" panose="020B0604020202020204" pitchFamily="34" charset="0"/>
            </a:rPr>
            <a:t>   and so forth</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69850</xdr:colOff>
      <xdr:row>40</xdr:row>
      <xdr:rowOff>228600</xdr:rowOff>
    </xdr:from>
    <xdr:to>
      <xdr:col>12</xdr:col>
      <xdr:colOff>679450</xdr:colOff>
      <xdr:row>44</xdr:row>
      <xdr:rowOff>12700</xdr:rowOff>
    </xdr:to>
    <xdr:sp macro="" textlink="">
      <xdr:nvSpPr>
        <xdr:cNvPr id="1102" name="TextBox 1101">
          <a:extLst>
            <a:ext uri="{FF2B5EF4-FFF2-40B4-BE49-F238E27FC236}">
              <a16:creationId xmlns:a16="http://schemas.microsoft.com/office/drawing/2014/main" id="{018F73AA-9A6E-47F1-9398-51D05126D334}"/>
            </a:ext>
          </a:extLst>
        </xdr:cNvPr>
        <xdr:cNvSpPr txBox="1"/>
      </xdr:nvSpPr>
      <xdr:spPr>
        <a:xfrm>
          <a:off x="69850" y="15062200"/>
          <a:ext cx="617220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Getting started</a:t>
          </a:r>
          <a:endParaRPr lang="en-US" sz="1200" b="1">
            <a:latin typeface="Arial" panose="020B0604020202020204" pitchFamily="34" charset="0"/>
            <a:cs typeface="Arial" panose="020B0604020202020204" pitchFamily="34" charset="0"/>
          </a:endParaRPr>
        </a:p>
        <a:p>
          <a:pPr lvl="0" algn="l"/>
          <a:r>
            <a:rPr lang="en-US" sz="1200" b="0" spc="-10" baseline="0">
              <a:solidFill>
                <a:schemeClr val="dk1"/>
              </a:solidFill>
              <a:effectLst/>
              <a:latin typeface="Arial" panose="020B0604020202020204" pitchFamily="34" charset="0"/>
              <a:ea typeface="+mn-ea"/>
              <a:cs typeface="Arial" panose="020B0604020202020204" pitchFamily="34" charset="0"/>
            </a:rPr>
            <a:t>Start listing names of those in your social circles who you can trust to be responsive to this </a:t>
          </a:r>
          <a:r>
            <a:rPr lang="en-US" sz="1200" b="0" baseline="0">
              <a:solidFill>
                <a:schemeClr val="dk1"/>
              </a:solidFill>
              <a:effectLst/>
              <a:latin typeface="Arial" panose="020B0604020202020204" pitchFamily="34" charset="0"/>
              <a:ea typeface="+mn-ea"/>
              <a:cs typeface="Arial" panose="020B0604020202020204" pitchFamily="34" charset="0"/>
            </a:rPr>
            <a:t>engaging process. Brainstorm at least twenty people you can invite.</a:t>
          </a:r>
          <a:endParaRPr lang="en-US" sz="1400" b="0">
            <a:latin typeface="Arial" panose="020B0604020202020204" pitchFamily="34" charset="0"/>
            <a:cs typeface="Arial" panose="020B0604020202020204" pitchFamily="34" charset="0"/>
          </a:endParaRPr>
        </a:p>
      </xdr:txBody>
    </xdr:sp>
    <xdr:clientData/>
  </xdr:twoCellAnchor>
  <xdr:twoCellAnchor>
    <xdr:from>
      <xdr:col>1</xdr:col>
      <xdr:colOff>0</xdr:colOff>
      <xdr:row>63</xdr:row>
      <xdr:rowOff>165100</xdr:rowOff>
    </xdr:from>
    <xdr:to>
      <xdr:col>13</xdr:col>
      <xdr:colOff>0</xdr:colOff>
      <xdr:row>66</xdr:row>
      <xdr:rowOff>184150</xdr:rowOff>
    </xdr:to>
    <xdr:sp macro="" textlink="">
      <xdr:nvSpPr>
        <xdr:cNvPr id="1103" name="TextBox 1102">
          <a:extLst>
            <a:ext uri="{FF2B5EF4-FFF2-40B4-BE49-F238E27FC236}">
              <a16:creationId xmlns:a16="http://schemas.microsoft.com/office/drawing/2014/main" id="{9C53171E-E8BD-43ED-932B-F8853A9126BC}"/>
            </a:ext>
          </a:extLst>
        </xdr:cNvPr>
        <xdr:cNvSpPr txBox="1"/>
      </xdr:nvSpPr>
      <xdr:spPr>
        <a:xfrm>
          <a:off x="114300" y="23698200"/>
          <a:ext cx="61722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How effective are you?</a:t>
          </a:r>
        </a:p>
        <a:p>
          <a:pPr lvl="0" algn="l"/>
          <a:r>
            <a:rPr lang="en-US" sz="1200" b="0" spc="-10">
              <a:latin typeface="Arial" panose="020B0604020202020204" pitchFamily="34" charset="0"/>
              <a:cs typeface="Arial" panose="020B0604020202020204" pitchFamily="34" charset="0"/>
            </a:rPr>
            <a:t>After you address their</a:t>
          </a:r>
          <a:r>
            <a:rPr lang="en-US" sz="1200" b="0" spc="-10" baseline="0">
              <a:latin typeface="Arial" panose="020B0604020202020204" pitchFamily="34" charset="0"/>
              <a:cs typeface="Arial" panose="020B0604020202020204" pitchFamily="34" charset="0"/>
            </a:rPr>
            <a:t> expressed need, note any challenges you faced</a:t>
          </a:r>
          <a:r>
            <a:rPr lang="en-US" sz="1200" b="0" baseline="0">
              <a:latin typeface="Arial" panose="020B0604020202020204" pitchFamily="34" charset="0"/>
              <a:cs typeface="Arial" panose="020B0604020202020204" pitchFamily="34" charset="0"/>
            </a:rPr>
            <a:t>. Write these down in the space provided in each invitee entry. Add any feedback they gave to your efforts.</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0</xdr:colOff>
      <xdr:row>86</xdr:row>
      <xdr:rowOff>57150</xdr:rowOff>
    </xdr:from>
    <xdr:to>
      <xdr:col>13</xdr:col>
      <xdr:colOff>0</xdr:colOff>
      <xdr:row>89</xdr:row>
      <xdr:rowOff>146050</xdr:rowOff>
    </xdr:to>
    <xdr:sp macro="" textlink="">
      <xdr:nvSpPr>
        <xdr:cNvPr id="1104" name="TextBox 1103">
          <a:extLst>
            <a:ext uri="{FF2B5EF4-FFF2-40B4-BE49-F238E27FC236}">
              <a16:creationId xmlns:a16="http://schemas.microsoft.com/office/drawing/2014/main" id="{BDDB012F-C4F4-4BF9-B2B2-234EABB9EDB6}"/>
            </a:ext>
          </a:extLst>
        </xdr:cNvPr>
        <xdr:cNvSpPr txBox="1"/>
      </xdr:nvSpPr>
      <xdr:spPr>
        <a:xfrm>
          <a:off x="114300" y="32289750"/>
          <a:ext cx="61722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Your turn to express a need they can serve</a:t>
          </a:r>
        </a:p>
        <a:p>
          <a:pPr lvl="0" algn="l"/>
          <a:r>
            <a:rPr lang="en-US" sz="1200" b="0">
              <a:latin typeface="Arial" panose="020B0604020202020204" pitchFamily="34" charset="0"/>
              <a:cs typeface="Arial" panose="020B0604020202020204" pitchFamily="34" charset="0"/>
            </a:rPr>
            <a:t>Share your need using the</a:t>
          </a:r>
          <a:r>
            <a:rPr lang="en-US" sz="1200" b="0" baseline="0">
              <a:latin typeface="Arial" panose="020B0604020202020204" pitchFamily="34" charset="0"/>
              <a:cs typeface="Arial" panose="020B0604020202020204" pitchFamily="34" charset="0"/>
            </a:rPr>
            <a:t> positive-negative-positive format of the praise sandwich. You </a:t>
          </a:r>
          <a:r>
            <a:rPr lang="en-US" sz="1200" b="0" spc="-10" baseline="0">
              <a:latin typeface="Arial" panose="020B0604020202020204" pitchFamily="34" charset="0"/>
              <a:cs typeface="Arial" panose="020B0604020202020204" pitchFamily="34" charset="0"/>
            </a:rPr>
            <a:t>write something affirming of them before sharing your need. You close affirming them with your </a:t>
          </a:r>
          <a:r>
            <a:rPr lang="en-US" sz="1200" b="0" baseline="0">
              <a:latin typeface="Arial" panose="020B0604020202020204" pitchFamily="34" charset="0"/>
              <a:cs typeface="Arial" panose="020B0604020202020204" pitchFamily="34" charset="0"/>
            </a:rPr>
            <a:t>mutual regard.</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0</xdr:colOff>
      <xdr:row>107</xdr:row>
      <xdr:rowOff>63500</xdr:rowOff>
    </xdr:from>
    <xdr:to>
      <xdr:col>13</xdr:col>
      <xdr:colOff>0</xdr:colOff>
      <xdr:row>110</xdr:row>
      <xdr:rowOff>19050</xdr:rowOff>
    </xdr:to>
    <xdr:sp macro="" textlink="">
      <xdr:nvSpPr>
        <xdr:cNvPr id="1105" name="TextBox 1104">
          <a:extLst>
            <a:ext uri="{FF2B5EF4-FFF2-40B4-BE49-F238E27FC236}">
              <a16:creationId xmlns:a16="http://schemas.microsoft.com/office/drawing/2014/main" id="{F9C8F627-82F2-4B80-8B0D-8042396952DA}"/>
            </a:ext>
          </a:extLst>
        </xdr:cNvPr>
        <xdr:cNvSpPr txBox="1"/>
      </xdr:nvSpPr>
      <xdr:spPr>
        <a:xfrm>
          <a:off x="114300" y="40487600"/>
          <a:ext cx="6172200" cy="717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Take this to the</a:t>
          </a:r>
          <a:r>
            <a:rPr lang="en-US" sz="1400" b="1" baseline="0">
              <a:latin typeface="Arial" panose="020B0604020202020204" pitchFamily="34" charset="0"/>
              <a:cs typeface="Arial" panose="020B0604020202020204" pitchFamily="34" charset="0"/>
            </a:rPr>
            <a:t> next level</a:t>
          </a:r>
          <a:endParaRPr lang="en-US" sz="1200" b="1">
            <a:latin typeface="Arial" panose="020B0604020202020204" pitchFamily="34" charset="0"/>
            <a:cs typeface="Arial" panose="020B0604020202020204" pitchFamily="34" charset="0"/>
          </a:endParaRPr>
        </a:p>
        <a:p>
          <a:pPr lvl="0" algn="l"/>
          <a:r>
            <a:rPr lang="en-US" sz="1200" b="0">
              <a:latin typeface="Arial" panose="020B0604020202020204" pitchFamily="34" charset="0"/>
              <a:cs typeface="Arial" panose="020B0604020202020204" pitchFamily="34" charset="0"/>
            </a:rPr>
            <a:t>Write down your wellness</a:t>
          </a:r>
          <a:r>
            <a:rPr lang="en-US" sz="1200" b="0" baseline="0">
              <a:latin typeface="Arial" panose="020B0604020202020204" pitchFamily="34" charset="0"/>
              <a:cs typeface="Arial" panose="020B0604020202020204" pitchFamily="34" charset="0"/>
            </a:rPr>
            <a:t> goal if you haven't already. You can frame your goal to fit the expected responsiveness of the invitee. </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12700</xdr:colOff>
      <xdr:row>22</xdr:row>
      <xdr:rowOff>203200</xdr:rowOff>
    </xdr:from>
    <xdr:to>
      <xdr:col>13</xdr:col>
      <xdr:colOff>12700</xdr:colOff>
      <xdr:row>25</xdr:row>
      <xdr:rowOff>222250</xdr:rowOff>
    </xdr:to>
    <xdr:sp macro="" textlink="">
      <xdr:nvSpPr>
        <xdr:cNvPr id="1106" name="TextBox 1105">
          <a:extLst>
            <a:ext uri="{FF2B5EF4-FFF2-40B4-BE49-F238E27FC236}">
              <a16:creationId xmlns:a16="http://schemas.microsoft.com/office/drawing/2014/main" id="{026C4A88-26FA-4D72-82A0-C2C4364C12AD}"/>
            </a:ext>
          </a:extLst>
        </xdr:cNvPr>
        <xdr:cNvSpPr txBox="1"/>
      </xdr:nvSpPr>
      <xdr:spPr>
        <a:xfrm>
          <a:off x="127000" y="7607300"/>
          <a:ext cx="61722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400" b="1">
              <a:latin typeface="Arial" panose="020B0604020202020204" pitchFamily="34" charset="0"/>
              <a:cs typeface="Arial" panose="020B0604020202020204" pitchFamily="34" charset="0"/>
            </a:rPr>
            <a:t>Learn more</a:t>
          </a:r>
        </a:p>
        <a:p>
          <a:pPr lvl="0" algn="l"/>
          <a:r>
            <a:rPr lang="en-US" sz="1200" b="0">
              <a:latin typeface="Arial" panose="020B0604020202020204" pitchFamily="34" charset="0"/>
              <a:cs typeface="Arial" panose="020B0604020202020204" pitchFamily="34" charset="0"/>
            </a:rPr>
            <a:t>Scroll down to learn more about each of these cycles. Each includes its own four-part need-responsive cycle. See for yourself if this ultimately</a:t>
          </a:r>
          <a:r>
            <a:rPr lang="en-US" sz="1200" b="0" baseline="0">
              <a:latin typeface="Arial" panose="020B0604020202020204" pitchFamily="34" charset="0"/>
              <a:cs typeface="Arial" panose="020B0604020202020204" pitchFamily="34" charset="0"/>
            </a:rPr>
            <a:t> improves your wellness.</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63500</xdr:colOff>
      <xdr:row>14</xdr:row>
      <xdr:rowOff>88899</xdr:rowOff>
    </xdr:from>
    <xdr:to>
      <xdr:col>8</xdr:col>
      <xdr:colOff>25400</xdr:colOff>
      <xdr:row>16</xdr:row>
      <xdr:rowOff>129539</xdr:rowOff>
    </xdr:to>
    <xdr:sp macro="" textlink="">
      <xdr:nvSpPr>
        <xdr:cNvPr id="1107" name="TextBox 1106">
          <a:hlinkClick xmlns:r="http://schemas.openxmlformats.org/officeDocument/2006/relationships" r:id="rId13" tooltip="to INVITE: warmup cycle A"/>
          <a:extLst>
            <a:ext uri="{FF2B5EF4-FFF2-40B4-BE49-F238E27FC236}">
              <a16:creationId xmlns:a16="http://schemas.microsoft.com/office/drawing/2014/main" id="{2D939511-B369-4899-82C5-14FAC54FEA06}"/>
            </a:ext>
          </a:extLst>
        </xdr:cNvPr>
        <xdr:cNvSpPr txBox="1"/>
      </xdr:nvSpPr>
      <xdr:spPr>
        <a:xfrm>
          <a:off x="177800" y="54609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A. ALERT to this new need-focused process</a:t>
          </a:r>
        </a:p>
        <a:p>
          <a:pPr lvl="0" algn="l"/>
          <a:r>
            <a:rPr lang="en-US" sz="1100" b="0">
              <a:latin typeface="Arial" panose="020B0604020202020204" pitchFamily="34" charset="0"/>
              <a:cs typeface="Arial" panose="020B0604020202020204" pitchFamily="34" charset="0"/>
            </a:rPr>
            <a:t>You invite others to express a need you can serve.</a:t>
          </a:r>
        </a:p>
      </xdr:txBody>
    </xdr:sp>
    <xdr:clientData/>
  </xdr:twoCellAnchor>
  <xdr:twoCellAnchor>
    <xdr:from>
      <xdr:col>1</xdr:col>
      <xdr:colOff>63500</xdr:colOff>
      <xdr:row>16</xdr:row>
      <xdr:rowOff>88899</xdr:rowOff>
    </xdr:from>
    <xdr:to>
      <xdr:col>8</xdr:col>
      <xdr:colOff>25400</xdr:colOff>
      <xdr:row>18</xdr:row>
      <xdr:rowOff>129539</xdr:rowOff>
    </xdr:to>
    <xdr:sp macro="" textlink="">
      <xdr:nvSpPr>
        <xdr:cNvPr id="1108" name="TextBox 1107">
          <a:hlinkClick xmlns:r="http://schemas.openxmlformats.org/officeDocument/2006/relationships" r:id="rId14" tooltip="to ASSESS: warmup cycle B"/>
          <a:extLst>
            <a:ext uri="{FF2B5EF4-FFF2-40B4-BE49-F238E27FC236}">
              <a16:creationId xmlns:a16="http://schemas.microsoft.com/office/drawing/2014/main" id="{D8C244FA-5B4B-AD96-CC5B-FCB6164A87A5}"/>
            </a:ext>
          </a:extLst>
        </xdr:cNvPr>
        <xdr:cNvSpPr txBox="1"/>
      </xdr:nvSpPr>
      <xdr:spPr>
        <a:xfrm>
          <a:off x="177800" y="59689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B. ASSESS responsiveness to needs</a:t>
          </a:r>
        </a:p>
        <a:p>
          <a:pPr lvl="0" algn="l"/>
          <a:r>
            <a:rPr lang="en-US" sz="1100" b="0">
              <a:latin typeface="Arial" panose="020B0604020202020204" pitchFamily="34" charset="0"/>
              <a:cs typeface="Arial" panose="020B0604020202020204" pitchFamily="34" charset="0"/>
            </a:rPr>
            <a:t>You assess their responsiveness to your invitation.</a:t>
          </a:r>
          <a:endParaRPr lang="en-US" sz="1200" b="0">
            <a:latin typeface="Arial" panose="020B0604020202020204" pitchFamily="34" charset="0"/>
            <a:cs typeface="Arial" panose="020B0604020202020204" pitchFamily="34" charset="0"/>
          </a:endParaRPr>
        </a:p>
      </xdr:txBody>
    </xdr:sp>
    <xdr:clientData/>
  </xdr:twoCellAnchor>
  <xdr:twoCellAnchor>
    <xdr:from>
      <xdr:col>1</xdr:col>
      <xdr:colOff>63500</xdr:colOff>
      <xdr:row>18</xdr:row>
      <xdr:rowOff>101599</xdr:rowOff>
    </xdr:from>
    <xdr:to>
      <xdr:col>8</xdr:col>
      <xdr:colOff>25400</xdr:colOff>
      <xdr:row>20</xdr:row>
      <xdr:rowOff>142239</xdr:rowOff>
    </xdr:to>
    <xdr:sp macro="" textlink="">
      <xdr:nvSpPr>
        <xdr:cNvPr id="1109" name="TextBox 1108">
          <a:hlinkClick xmlns:r="http://schemas.openxmlformats.org/officeDocument/2006/relationships" r:id="rId15" tooltip="to AUDIT: warmup cycle C"/>
          <a:extLst>
            <a:ext uri="{FF2B5EF4-FFF2-40B4-BE49-F238E27FC236}">
              <a16:creationId xmlns:a16="http://schemas.microsoft.com/office/drawing/2014/main" id="{87936C28-5F28-238E-DAF0-FBEF0B92B418}"/>
            </a:ext>
          </a:extLst>
        </xdr:cNvPr>
        <xdr:cNvSpPr txBox="1"/>
      </xdr:nvSpPr>
      <xdr:spPr>
        <a:xfrm>
          <a:off x="177800" y="648969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C. AUDIT progress of this process</a:t>
          </a:r>
        </a:p>
        <a:p>
          <a:pPr lvl="0" algn="l"/>
          <a:r>
            <a:rPr lang="en-US" sz="1100" b="0" spc="-20" baseline="0">
              <a:latin typeface="Arial" panose="020B0604020202020204" pitchFamily="34" charset="0"/>
              <a:cs typeface="Arial" panose="020B0604020202020204" pitchFamily="34" charset="0"/>
            </a:rPr>
            <a:t>You gage their responsiveness to your shared need.</a:t>
          </a:r>
          <a:endParaRPr lang="en-US" sz="1200" b="0" spc="-20" baseline="0">
            <a:latin typeface="Arial" panose="020B0604020202020204" pitchFamily="34" charset="0"/>
            <a:cs typeface="Arial" panose="020B0604020202020204" pitchFamily="34" charset="0"/>
          </a:endParaRPr>
        </a:p>
      </xdr:txBody>
    </xdr:sp>
    <xdr:clientData/>
  </xdr:twoCellAnchor>
  <xdr:twoCellAnchor>
    <xdr:from>
      <xdr:col>1</xdr:col>
      <xdr:colOff>63500</xdr:colOff>
      <xdr:row>20</xdr:row>
      <xdr:rowOff>107949</xdr:rowOff>
    </xdr:from>
    <xdr:to>
      <xdr:col>8</xdr:col>
      <xdr:colOff>25400</xdr:colOff>
      <xdr:row>22</xdr:row>
      <xdr:rowOff>148589</xdr:rowOff>
    </xdr:to>
    <xdr:sp macro="" textlink="">
      <xdr:nvSpPr>
        <xdr:cNvPr id="1110" name="TextBox 1109">
          <a:hlinkClick xmlns:r="http://schemas.openxmlformats.org/officeDocument/2006/relationships" r:id="rId16" tooltip="to AVOW: warmup cycle D"/>
          <a:extLst>
            <a:ext uri="{FF2B5EF4-FFF2-40B4-BE49-F238E27FC236}">
              <a16:creationId xmlns:a16="http://schemas.microsoft.com/office/drawing/2014/main" id="{FFA7A514-4C54-4BB8-C59F-1F32D4EAD2E0}"/>
            </a:ext>
          </a:extLst>
        </xdr:cNvPr>
        <xdr:cNvSpPr txBox="1"/>
      </xdr:nvSpPr>
      <xdr:spPr>
        <a:xfrm>
          <a:off x="177800" y="7004049"/>
          <a:ext cx="33528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spc="-20" baseline="0">
              <a:latin typeface="Arial" panose="020B0604020202020204" pitchFamily="34" charset="0"/>
              <a:cs typeface="Arial" panose="020B0604020202020204" pitchFamily="34" charset="0"/>
            </a:rPr>
            <a:t>D. AVOW to resolve needs</a:t>
          </a:r>
        </a:p>
        <a:p>
          <a:pPr lvl="0" algn="l"/>
          <a:r>
            <a:rPr lang="en-US" sz="1100" b="0">
              <a:latin typeface="Arial" panose="020B0604020202020204" pitchFamily="34" charset="0"/>
              <a:cs typeface="Arial" panose="020B0604020202020204" pitchFamily="34" charset="0"/>
            </a:rPr>
            <a:t>You invite them to join your wellness campaign.</a:t>
          </a:r>
          <a:endParaRPr lang="en-US" sz="1200" b="0">
            <a:latin typeface="Arial" panose="020B0604020202020204" pitchFamily="34" charset="0"/>
            <a:cs typeface="Arial" panose="020B0604020202020204" pitchFamily="34" charset="0"/>
          </a:endParaRPr>
        </a:p>
      </xdr:txBody>
    </xdr:sp>
    <xdr:clientData/>
  </xdr:twoCellAnchor>
  <xdr:twoCellAnchor>
    <xdr:from>
      <xdr:col>3</xdr:col>
      <xdr:colOff>463550</xdr:colOff>
      <xdr:row>9</xdr:row>
      <xdr:rowOff>69850</xdr:rowOff>
    </xdr:from>
    <xdr:to>
      <xdr:col>13</xdr:col>
      <xdr:colOff>69850</xdr:colOff>
      <xdr:row>12</xdr:row>
      <xdr:rowOff>234950</xdr:rowOff>
    </xdr:to>
    <xdr:sp macro="" textlink="">
      <xdr:nvSpPr>
        <xdr:cNvPr id="1111" name="TextBox 1110">
          <a:extLst>
            <a:ext uri="{FF2B5EF4-FFF2-40B4-BE49-F238E27FC236}">
              <a16:creationId xmlns:a16="http://schemas.microsoft.com/office/drawing/2014/main" id="{CAC4835C-9ED8-8C7E-BFBC-B501D9B0C025}"/>
            </a:ext>
          </a:extLst>
        </xdr:cNvPr>
        <xdr:cNvSpPr txBox="1"/>
      </xdr:nvSpPr>
      <xdr:spPr>
        <a:xfrm>
          <a:off x="1397000" y="4171950"/>
          <a:ext cx="495935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Need-response</a:t>
          </a:r>
          <a:r>
            <a:rPr lang="en-US" sz="1200" b="1" baseline="0">
              <a:latin typeface="Arial" panose="020B0604020202020204" pitchFamily="34" charset="0"/>
              <a:cs typeface="Arial" panose="020B0604020202020204" pitchFamily="34" charset="0"/>
            </a:rPr>
            <a:t> cycle</a:t>
          </a:r>
          <a:endParaRPr lang="en-US" sz="1200" b="1">
            <a:latin typeface="Arial" panose="020B0604020202020204" pitchFamily="34" charset="0"/>
            <a:cs typeface="Arial" panose="020B0604020202020204" pitchFamily="34" charset="0"/>
          </a:endParaRPr>
        </a:p>
        <a:p>
          <a:pPr lvl="0" algn="l"/>
          <a:r>
            <a:rPr lang="en-US" sz="1200" b="0">
              <a:latin typeface="Arial" panose="020B0604020202020204" pitchFamily="34" charset="0"/>
              <a:cs typeface="Arial" panose="020B0604020202020204" pitchFamily="34" charset="0"/>
            </a:rPr>
            <a:t>A wellness campain</a:t>
          </a:r>
          <a:r>
            <a:rPr lang="en-US" sz="1200" b="0" baseline="0">
              <a:latin typeface="Arial" panose="020B0604020202020204" pitchFamily="34" charset="0"/>
              <a:cs typeface="Arial" panose="020B0604020202020204" pitchFamily="34" charset="0"/>
            </a:rPr>
            <a:t> relies heavily on this tool to bring more needs into awareness and to improve our responsiveness to resolve such needs. This warmup exercise takes you through four of these cycles.</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107950</xdr:colOff>
      <xdr:row>89</xdr:row>
      <xdr:rowOff>133350</xdr:rowOff>
    </xdr:from>
    <xdr:to>
      <xdr:col>12</xdr:col>
      <xdr:colOff>717550</xdr:colOff>
      <xdr:row>91</xdr:row>
      <xdr:rowOff>95251</xdr:rowOff>
    </xdr:to>
    <xdr:sp macro="" textlink="">
      <xdr:nvSpPr>
        <xdr:cNvPr id="1113" name="TextBox 1112">
          <a:extLst>
            <a:ext uri="{FF2B5EF4-FFF2-40B4-BE49-F238E27FC236}">
              <a16:creationId xmlns:a16="http://schemas.microsoft.com/office/drawing/2014/main" id="{205FC701-DD8C-75CF-3C71-8E9D083BAAEF}"/>
            </a:ext>
          </a:extLst>
        </xdr:cNvPr>
        <xdr:cNvSpPr txBox="1"/>
      </xdr:nvSpPr>
      <xdr:spPr>
        <a:xfrm>
          <a:off x="107950" y="331279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a:latin typeface="Arial" panose="020B0604020202020204" pitchFamily="34" charset="0"/>
              <a:cs typeface="Arial" panose="020B0604020202020204" pitchFamily="34" charset="0"/>
            </a:rPr>
            <a:t>Log how receptive they are to your messaging</a:t>
          </a:r>
          <a:r>
            <a:rPr lang="en-US" sz="1200" b="0" baseline="0">
              <a:latin typeface="Arial" panose="020B0604020202020204" pitchFamily="34" charset="0"/>
              <a:cs typeface="Arial" panose="020B0604020202020204" pitchFamily="34" charset="0"/>
            </a:rPr>
            <a:t> of your expressed need. Then record how responsive they are to accommodate your shared need.</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76200</xdr:colOff>
      <xdr:row>43</xdr:row>
      <xdr:rowOff>209550</xdr:rowOff>
    </xdr:from>
    <xdr:to>
      <xdr:col>12</xdr:col>
      <xdr:colOff>685800</xdr:colOff>
      <xdr:row>45</xdr:row>
      <xdr:rowOff>209549</xdr:rowOff>
    </xdr:to>
    <xdr:sp macro="" textlink="">
      <xdr:nvSpPr>
        <xdr:cNvPr id="1116" name="TextBox 1115">
          <a:hlinkClick xmlns:r="http://schemas.openxmlformats.org/officeDocument/2006/relationships" r:id="rId17" tooltip="to first entry of invitees"/>
          <a:extLst>
            <a:ext uri="{FF2B5EF4-FFF2-40B4-BE49-F238E27FC236}">
              <a16:creationId xmlns:a16="http://schemas.microsoft.com/office/drawing/2014/main" id="{7E2E1D9C-5712-FA2D-9291-23BB457D8937}"/>
            </a:ext>
          </a:extLst>
        </xdr:cNvPr>
        <xdr:cNvSpPr txBox="1"/>
      </xdr:nvSpPr>
      <xdr:spPr>
        <a:xfrm>
          <a:off x="76200" y="15805150"/>
          <a:ext cx="6172200" cy="50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solidFill>
                <a:sysClr val="windowText" lastClr="000000"/>
              </a:solidFill>
              <a:latin typeface="Arial" panose="020B0604020202020204" pitchFamily="34" charset="0"/>
              <a:cs typeface="Arial" panose="020B0604020202020204" pitchFamily="34" charset="0"/>
            </a:rPr>
            <a:t>Click</a:t>
          </a:r>
          <a:r>
            <a:rPr lang="en-US" sz="1200" b="0" spc="-10" baseline="0">
              <a:solidFill>
                <a:srgbClr val="004221"/>
              </a:solidFill>
              <a:latin typeface="Arial" panose="020B0604020202020204" pitchFamily="34" charset="0"/>
              <a:cs typeface="Arial" panose="020B0604020202020204" pitchFamily="34" charset="0"/>
            </a:rPr>
            <a:t> </a:t>
          </a:r>
          <a:r>
            <a:rPr lang="en-US" sz="1200" b="1" spc="-10" baseline="0">
              <a:solidFill>
                <a:srgbClr val="004221"/>
              </a:solidFill>
              <a:latin typeface="Arial" panose="020B0604020202020204" pitchFamily="34" charset="0"/>
              <a:cs typeface="Arial" panose="020B0604020202020204" pitchFamily="34" charset="0"/>
            </a:rPr>
            <a:t>here</a:t>
          </a:r>
          <a:r>
            <a:rPr lang="en-US" sz="1200" b="0" spc="-10" baseline="0">
              <a:solidFill>
                <a:srgbClr val="004221"/>
              </a:solidFill>
              <a:latin typeface="Arial" panose="020B0604020202020204" pitchFamily="34" charset="0"/>
              <a:cs typeface="Arial" panose="020B0604020202020204" pitchFamily="34" charset="0"/>
            </a:rPr>
            <a:t> </a:t>
          </a:r>
          <a:r>
            <a:rPr lang="en-US" sz="1200" b="0" spc="-10" baseline="0">
              <a:solidFill>
                <a:sysClr val="windowText" lastClr="000000"/>
              </a:solidFill>
              <a:latin typeface="Arial" panose="020B0604020202020204" pitchFamily="34" charset="0"/>
              <a:cs typeface="Arial" panose="020B0604020202020204" pitchFamily="34" charset="0"/>
            </a:rPr>
            <a:t>to enter the names below. Simply provide the invitee's first and last name. Click </a:t>
          </a:r>
          <a:r>
            <a:rPr lang="en-US" sz="1200" b="0" baseline="0">
              <a:solidFill>
                <a:sysClr val="windowText" lastClr="000000"/>
              </a:solidFill>
              <a:latin typeface="Arial" panose="020B0604020202020204" pitchFamily="34" charset="0"/>
              <a:cs typeface="Arial" panose="020B0604020202020204" pitchFamily="34" charset="0"/>
            </a:rPr>
            <a:t>on the blue number at the left of each name to go to that invitee's entry.</a:t>
          </a:r>
          <a:endParaRPr lang="en-US" sz="12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82550</xdr:colOff>
      <xdr:row>45</xdr:row>
      <xdr:rowOff>222250</xdr:rowOff>
    </xdr:from>
    <xdr:to>
      <xdr:col>12</xdr:col>
      <xdr:colOff>692150</xdr:colOff>
      <xdr:row>47</xdr:row>
      <xdr:rowOff>184151</xdr:rowOff>
    </xdr:to>
    <xdr:sp macro="" textlink="">
      <xdr:nvSpPr>
        <xdr:cNvPr id="1117" name="TextBox 1116">
          <a:extLst>
            <a:ext uri="{FF2B5EF4-FFF2-40B4-BE49-F238E27FC236}">
              <a16:creationId xmlns:a16="http://schemas.microsoft.com/office/drawing/2014/main" id="{5628EAD0-E0DC-4CA5-B7BB-FBA7EB5E2233}"/>
            </a:ext>
          </a:extLst>
        </xdr:cNvPr>
        <xdr:cNvSpPr txBox="1"/>
      </xdr:nvSpPr>
      <xdr:spPr>
        <a:xfrm>
          <a:off x="82550" y="163258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latin typeface="Arial" panose="020B0604020202020204" pitchFamily="34" charset="0"/>
              <a:cs typeface="Arial" panose="020B0604020202020204" pitchFamily="34" charset="0"/>
            </a:rPr>
            <a:t>Write down that invitee's expressed need in their entry. Record when you asked and when </a:t>
          </a:r>
          <a:r>
            <a:rPr lang="en-US" sz="1200" b="0">
              <a:latin typeface="Arial" panose="020B0604020202020204" pitchFamily="34" charset="0"/>
              <a:cs typeface="Arial" panose="020B0604020202020204" pitchFamily="34" charset="0"/>
            </a:rPr>
            <a:t>they replied.</a:t>
          </a:r>
          <a:r>
            <a:rPr lang="en-US" sz="1200" b="0" baseline="0">
              <a:latin typeface="Arial" panose="020B0604020202020204" pitchFamily="34" charset="0"/>
              <a:cs typeface="Arial" panose="020B0604020202020204" pitchFamily="34" charset="0"/>
            </a:rPr>
            <a:t> And determine how urgent is this need to them.</a:t>
          </a:r>
          <a:endParaRPr lang="en-US" sz="1200" b="0">
            <a:latin typeface="Arial" panose="020B0604020202020204" pitchFamily="34" charset="0"/>
            <a:cs typeface="Arial" panose="020B0604020202020204" pitchFamily="34" charset="0"/>
          </a:endParaRPr>
        </a:p>
      </xdr:txBody>
    </xdr:sp>
    <xdr:clientData/>
  </xdr:twoCellAnchor>
  <xdr:twoCellAnchor>
    <xdr:from>
      <xdr:col>0</xdr:col>
      <xdr:colOff>107950</xdr:colOff>
      <xdr:row>66</xdr:row>
      <xdr:rowOff>247650</xdr:rowOff>
    </xdr:from>
    <xdr:to>
      <xdr:col>12</xdr:col>
      <xdr:colOff>717550</xdr:colOff>
      <xdr:row>68</xdr:row>
      <xdr:rowOff>209551</xdr:rowOff>
    </xdr:to>
    <xdr:sp macro="" textlink="">
      <xdr:nvSpPr>
        <xdr:cNvPr id="1118" name="TextBox 1117">
          <a:extLst>
            <a:ext uri="{FF2B5EF4-FFF2-40B4-BE49-F238E27FC236}">
              <a16:creationId xmlns:a16="http://schemas.microsoft.com/office/drawing/2014/main" id="{3FA9CA7F-DEB7-25FC-B754-2CC9D5DFF3B7}"/>
            </a:ext>
          </a:extLst>
        </xdr:cNvPr>
        <xdr:cNvSpPr txBox="1"/>
      </xdr:nvSpPr>
      <xdr:spPr>
        <a:xfrm>
          <a:off x="107950" y="24542750"/>
          <a:ext cx="6172200" cy="469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a:solidFill>
                <a:schemeClr val="dk1"/>
              </a:solidFill>
              <a:effectLst/>
              <a:latin typeface="Arial" panose="020B0604020202020204" pitchFamily="34" charset="0"/>
              <a:ea typeface="+mn-ea"/>
              <a:cs typeface="Arial" panose="020B0604020202020204" pitchFamily="34" charset="0"/>
            </a:rPr>
            <a:t>Finally</a:t>
          </a:r>
          <a:r>
            <a:rPr lang="en-US" sz="1200" b="0" baseline="0">
              <a:solidFill>
                <a:schemeClr val="dk1"/>
              </a:solidFill>
              <a:effectLst/>
              <a:latin typeface="Arial" panose="020B0604020202020204" pitchFamily="34" charset="0"/>
              <a:ea typeface="+mn-ea"/>
              <a:cs typeface="Arial" panose="020B0604020202020204" pitchFamily="34" charset="0"/>
            </a:rPr>
            <a:t>, ask them how satisfied they are with your efforts. Log their </a:t>
          </a:r>
          <a:r>
            <a:rPr lang="en-US" sz="1200" b="1" baseline="0">
              <a:solidFill>
                <a:schemeClr val="dk1"/>
              </a:solidFill>
              <a:effectLst/>
              <a:latin typeface="Arial" panose="020B0604020202020204" pitchFamily="34" charset="0"/>
              <a:ea typeface="+mn-ea"/>
              <a:cs typeface="Arial" panose="020B0604020202020204" pitchFamily="34" charset="0"/>
            </a:rPr>
            <a:t>satisfaction level </a:t>
          </a:r>
          <a:r>
            <a:rPr lang="en-US" sz="1200" b="0" baseline="0">
              <a:solidFill>
                <a:schemeClr val="dk1"/>
              </a:solidFill>
              <a:effectLst/>
              <a:latin typeface="Arial" panose="020B0604020202020204" pitchFamily="34" charset="0"/>
              <a:ea typeface="+mn-ea"/>
              <a:cs typeface="Arial" panose="020B0604020202020204" pitchFamily="34" charset="0"/>
            </a:rPr>
            <a:t>using the tool below. Optional: select an option that captures their emotional repsonse.</a:t>
          </a:r>
          <a:endParaRPr lang="en-US" sz="1200">
            <a:effectLst/>
            <a:latin typeface="Arial" panose="020B0604020202020204" pitchFamily="34" charset="0"/>
            <a:cs typeface="Arial" panose="020B0604020202020204" pitchFamily="34" charset="0"/>
          </a:endParaRPr>
        </a:p>
        <a:p>
          <a:pPr lvl="0" algn="l"/>
          <a:endParaRPr lang="en-US" sz="1400" b="0">
            <a:latin typeface="Arial" panose="020B0604020202020204" pitchFamily="34" charset="0"/>
            <a:cs typeface="Arial" panose="020B0604020202020204" pitchFamily="34" charset="0"/>
          </a:endParaRPr>
        </a:p>
      </xdr:txBody>
    </xdr:sp>
    <xdr:clientData/>
  </xdr:twoCellAnchor>
  <xdr:twoCellAnchor>
    <xdr:from>
      <xdr:col>1</xdr:col>
      <xdr:colOff>0</xdr:colOff>
      <xdr:row>109</xdr:row>
      <xdr:rowOff>241300</xdr:rowOff>
    </xdr:from>
    <xdr:to>
      <xdr:col>13</xdr:col>
      <xdr:colOff>0</xdr:colOff>
      <xdr:row>112</xdr:row>
      <xdr:rowOff>203200</xdr:rowOff>
    </xdr:to>
    <xdr:sp macro="" textlink="">
      <xdr:nvSpPr>
        <xdr:cNvPr id="1120" name="TextBox 1119">
          <a:hlinkClick xmlns:r="http://schemas.openxmlformats.org/officeDocument/2006/relationships" r:id="rId18" tooltip="to Responsiveness Report"/>
          <a:extLst>
            <a:ext uri="{FF2B5EF4-FFF2-40B4-BE49-F238E27FC236}">
              <a16:creationId xmlns:a16="http://schemas.microsoft.com/office/drawing/2014/main" id="{07F977C8-34A8-7B49-9225-1520721446A7}"/>
            </a:ext>
          </a:extLst>
        </xdr:cNvPr>
        <xdr:cNvSpPr txBox="1"/>
      </xdr:nvSpPr>
      <xdr:spPr>
        <a:xfrm>
          <a:off x="114300" y="41173400"/>
          <a:ext cx="61722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0" spc="-10" baseline="0">
              <a:latin typeface="Arial" panose="020B0604020202020204" pitchFamily="34" charset="0"/>
              <a:cs typeface="Arial" panose="020B0604020202020204" pitchFamily="34" charset="0"/>
            </a:rPr>
            <a:t>Record </a:t>
          </a:r>
          <a:r>
            <a:rPr lang="en-US" sz="1200" b="0" spc="-10" baseline="0">
              <a:solidFill>
                <a:schemeClr val="dk1"/>
              </a:solidFill>
              <a:latin typeface="Arial" panose="020B0604020202020204" pitchFamily="34" charset="0"/>
              <a:ea typeface="+mn-ea"/>
              <a:cs typeface="Arial" panose="020B0604020202020204" pitchFamily="34" charset="0"/>
            </a:rPr>
            <a:t>when you asked and when they replied. After doing these steps with each invitee, check your responsive scores below. Then scroll down to read the </a:t>
          </a:r>
          <a:r>
            <a:rPr lang="en-US" sz="1200" b="1" spc="-10" baseline="0">
              <a:solidFill>
                <a:srgbClr val="004221"/>
              </a:solidFill>
              <a:latin typeface="Arial" panose="020B0604020202020204" pitchFamily="34" charset="0"/>
              <a:ea typeface="+mn-ea"/>
              <a:cs typeface="Arial" panose="020B0604020202020204" pitchFamily="34" charset="0"/>
            </a:rPr>
            <a:t>report</a:t>
          </a:r>
          <a:r>
            <a:rPr lang="en-US" sz="1200" b="0" spc="-10" baseline="0">
              <a:solidFill>
                <a:schemeClr val="dk1"/>
              </a:solidFill>
              <a:latin typeface="Arial" panose="020B0604020202020204" pitchFamily="34" charset="0"/>
              <a:ea typeface="+mn-ea"/>
              <a:cs typeface="Arial" panose="020B0604020202020204" pitchFamily="34" charset="0"/>
            </a:rPr>
            <a:t>. Decide then if you are set to proceed with your own wellness campaign. </a:t>
          </a:r>
        </a:p>
      </xdr:txBody>
    </xdr:sp>
    <xdr:clientData/>
  </xdr:twoCellAnchor>
  <xdr:twoCellAnchor>
    <xdr:from>
      <xdr:col>31</xdr:col>
      <xdr:colOff>19050</xdr:colOff>
      <xdr:row>1059</xdr:row>
      <xdr:rowOff>19050</xdr:rowOff>
    </xdr:from>
    <xdr:to>
      <xdr:col>32</xdr:col>
      <xdr:colOff>311150</xdr:colOff>
      <xdr:row>1064</xdr:row>
      <xdr:rowOff>107950</xdr:rowOff>
    </xdr:to>
    <xdr:sp macro="" textlink="">
      <xdr:nvSpPr>
        <xdr:cNvPr id="14" name="TextBox 13">
          <a:extLst>
            <a:ext uri="{FF2B5EF4-FFF2-40B4-BE49-F238E27FC236}">
              <a16:creationId xmlns:a16="http://schemas.microsoft.com/office/drawing/2014/main" id="{33CD6EC2-B694-4347-9EF4-14D3FB5F36E4}"/>
            </a:ext>
          </a:extLst>
        </xdr:cNvPr>
        <xdr:cNvSpPr txBox="1"/>
      </xdr:nvSpPr>
      <xdr:spPr>
        <a:xfrm>
          <a:off x="14579600" y="302996600"/>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Building your support team</a:t>
          </a:r>
        </a:p>
        <a:p>
          <a:r>
            <a:rPr lang="en-US" sz="1200">
              <a:latin typeface="Arial" panose="020B0604020202020204" pitchFamily="34" charset="0"/>
              <a:cs typeface="Arial" panose="020B0604020202020204" pitchFamily="34" charset="0"/>
            </a:rPr>
            <a:t>When you are ready, you can scroll down and start selecting</a:t>
          </a:r>
          <a:r>
            <a:rPr lang="en-US" sz="1200" baseline="0">
              <a:latin typeface="Arial" panose="020B0604020202020204" pitchFamily="34" charset="0"/>
              <a:cs typeface="Arial" panose="020B0604020202020204" pitchFamily="34" charset="0"/>
            </a:rPr>
            <a:t> invitees to your wellness campaign. The higher their responsive score, the greater the likelihood they can help your wellness campaign succeed.</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View the message below. It's no cost to them since they all start for free as a follower to your campaign. Click on the bold green text to switch to the 'invite' tab to print the message. Or you can save that message as a PDF using Excel 'Save As' options. </a:t>
          </a:r>
        </a:p>
        <a:p>
          <a:endParaRPr lang="en-US" sz="1200" baseline="0">
            <a:latin typeface="Arial" panose="020B0604020202020204" pitchFamily="34" charset="0"/>
            <a:cs typeface="Arial" panose="020B0604020202020204" pitchFamily="34" charset="0"/>
          </a:endParaRPr>
        </a:p>
        <a:p>
          <a:r>
            <a:rPr lang="en-US" sz="1400" b="1" baseline="0">
              <a:latin typeface="Arial" panose="020B0604020202020204" pitchFamily="34" charset="0"/>
              <a:cs typeface="Arial" panose="020B0604020202020204" pitchFamily="34" charset="0"/>
            </a:rPr>
            <a:t>Saving each message as a PDF</a:t>
          </a:r>
        </a:p>
        <a:p>
          <a:r>
            <a:rPr lang="en-US" sz="1200" baseline="0">
              <a:latin typeface="Arial" panose="020B0604020202020204" pitchFamily="34" charset="0"/>
              <a:cs typeface="Arial" panose="020B0604020202020204" pitchFamily="34" charset="0"/>
            </a:rPr>
            <a:t>To save each separate message to your invitees, click 'File' above and then select 'Save As' in the dropdown menu. Click 'Browse' to open the 'Save as' dialog box.</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After opending the 'Save as' dialog box, look below the 'File name:' field box for the 'Save as type:' field box. Click on the "Excel Workbook" in this lower field and then scroll down near the bottom of this list. Look for the "PDF" option and click it. </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Click in the 'File name:' field box. Type the invitee's name. (You can go with the "Minimize size" option.) Click the 'Save' button at the bottom right. Go through these steps each time you change the recipient name below in G642.</a:t>
          </a:r>
          <a:endParaRPr lang="en-US" sz="1200">
            <a:latin typeface="Arial" panose="020B0604020202020204" pitchFamily="34" charset="0"/>
            <a:cs typeface="Arial" panose="020B0604020202020204" pitchFamily="34" charset="0"/>
          </a:endParaRPr>
        </a:p>
      </xdr:txBody>
    </xdr:sp>
    <xdr:clientData/>
  </xdr:twoCellAnchor>
  <xdr:twoCellAnchor>
    <xdr:from>
      <xdr:col>16</xdr:col>
      <xdr:colOff>412750</xdr:colOff>
      <xdr:row>1059</xdr:row>
      <xdr:rowOff>158750</xdr:rowOff>
    </xdr:from>
    <xdr:to>
      <xdr:col>26</xdr:col>
      <xdr:colOff>279400</xdr:colOff>
      <xdr:row>1061</xdr:row>
      <xdr:rowOff>139700</xdr:rowOff>
    </xdr:to>
    <xdr:sp macro="" textlink="">
      <xdr:nvSpPr>
        <xdr:cNvPr id="29" name="TextBox 28">
          <a:extLst>
            <a:ext uri="{FF2B5EF4-FFF2-40B4-BE49-F238E27FC236}">
              <a16:creationId xmlns:a16="http://schemas.microsoft.com/office/drawing/2014/main" id="{7A3D4A0F-23B1-4466-95F8-1FBA7AB4EFCF}"/>
            </a:ext>
          </a:extLst>
        </xdr:cNvPr>
        <xdr:cNvSpPr txBox="1"/>
      </xdr:nvSpPr>
      <xdr:spPr>
        <a:xfrm>
          <a:off x="7842250" y="304304700"/>
          <a:ext cx="5010150" cy="31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latin typeface="Arial" panose="020B0604020202020204" pitchFamily="34" charset="0"/>
              <a:cs typeface="Arial" panose="020B0604020202020204" pitchFamily="34" charset="0"/>
            </a:rPr>
            <a:t>this dropdown list</a:t>
          </a:r>
          <a:r>
            <a:rPr lang="en-US" sz="1200" b="0" baseline="0">
              <a:latin typeface="Arial" panose="020B0604020202020204" pitchFamily="34" charset="0"/>
              <a:cs typeface="Arial" panose="020B0604020202020204" pitchFamily="34" charset="0"/>
            </a:rPr>
            <a:t> remains blank until you start filling in the form above</a:t>
          </a:r>
          <a:endParaRPr lang="en-US" sz="1100" b="0">
            <a:latin typeface="Arial" panose="020B0604020202020204" pitchFamily="34" charset="0"/>
            <a:cs typeface="Arial" panose="020B0604020202020204" pitchFamily="34" charset="0"/>
          </a:endParaRPr>
        </a:p>
      </xdr:txBody>
    </xdr:sp>
    <xdr:clientData/>
  </xdr:twoCellAnchor>
  <xdr:twoCellAnchor>
    <xdr:from>
      <xdr:col>1</xdr:col>
      <xdr:colOff>209551</xdr:colOff>
      <xdr:row>35</xdr:row>
      <xdr:rowOff>57149</xdr:rowOff>
    </xdr:from>
    <xdr:to>
      <xdr:col>4</xdr:col>
      <xdr:colOff>339091</xdr:colOff>
      <xdr:row>41</xdr:row>
      <xdr:rowOff>50800</xdr:rowOff>
    </xdr:to>
    <xdr:sp macro="" textlink="">
      <xdr:nvSpPr>
        <xdr:cNvPr id="30" name="TextBox 29">
          <a:extLst>
            <a:ext uri="{FF2B5EF4-FFF2-40B4-BE49-F238E27FC236}">
              <a16:creationId xmlns:a16="http://schemas.microsoft.com/office/drawing/2014/main" id="{CB675275-79A9-6145-4827-AB0905768FEB}"/>
            </a:ext>
          </a:extLst>
        </xdr:cNvPr>
        <xdr:cNvSpPr txBox="1"/>
      </xdr:nvSpPr>
      <xdr:spPr>
        <a:xfrm>
          <a:off x="323851" y="13620749"/>
          <a:ext cx="1463040" cy="151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Degrees of their responsiveness:</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Firm yes = 50%</a:t>
          </a:r>
        </a:p>
        <a:p>
          <a:pPr lvl="0" algn="l">
            <a:lnSpc>
              <a:spcPts val="1200"/>
            </a:lnSpc>
          </a:pPr>
          <a:r>
            <a:rPr lang="en-US" sz="1100" b="0">
              <a:latin typeface="Arial" panose="020B0604020202020204" pitchFamily="34" charset="0"/>
              <a:cs typeface="Arial" panose="020B0604020202020204" pitchFamily="34" charset="0"/>
            </a:rPr>
            <a:t>   Soft yes = 40%</a:t>
          </a:r>
        </a:p>
        <a:p>
          <a:pPr lvl="0" algn="l">
            <a:lnSpc>
              <a:spcPts val="1200"/>
            </a:lnSpc>
          </a:pPr>
          <a:r>
            <a:rPr lang="en-US" sz="1100" b="0">
              <a:latin typeface="Arial" panose="020B0604020202020204" pitchFamily="34" charset="0"/>
              <a:cs typeface="Arial" panose="020B0604020202020204" pitchFamily="34" charset="0"/>
            </a:rPr>
            <a:t>   Equivocal = 30%</a:t>
          </a:r>
        </a:p>
        <a:p>
          <a:pPr lvl="0" algn="l">
            <a:lnSpc>
              <a:spcPts val="1200"/>
            </a:lnSpc>
          </a:pPr>
          <a:r>
            <a:rPr lang="en-US" sz="1100" b="0" baseline="0">
              <a:latin typeface="Arial" panose="020B0604020202020204" pitchFamily="34" charset="0"/>
              <a:cs typeface="Arial" panose="020B0604020202020204" pitchFamily="34" charset="0"/>
            </a:rPr>
            <a:t>   Soft no = 20%</a:t>
          </a:r>
        </a:p>
        <a:p>
          <a:pPr lvl="0" algn="l">
            <a:lnSpc>
              <a:spcPts val="1200"/>
            </a:lnSpc>
          </a:pPr>
          <a:r>
            <a:rPr lang="en-US" sz="1100" b="0" baseline="0">
              <a:latin typeface="Arial" panose="020B0604020202020204" pitchFamily="34" charset="0"/>
              <a:cs typeface="Arial" panose="020B0604020202020204" pitchFamily="34" charset="0"/>
            </a:rPr>
            <a:t>   Firm no = 10%</a:t>
          </a:r>
        </a:p>
        <a:p>
          <a:pPr lvl="0" algn="l">
            <a:lnSpc>
              <a:spcPts val="1200"/>
            </a:lnSpc>
          </a:pPr>
          <a:r>
            <a:rPr lang="en-US" sz="1100" b="0" baseline="0">
              <a:latin typeface="Arial" panose="020B0604020202020204" pitchFamily="34" charset="0"/>
              <a:cs typeface="Arial" panose="020B0604020202020204" pitchFamily="34" charset="0"/>
            </a:rPr>
            <a:t>   No reply = 0%</a:t>
          </a:r>
          <a:endParaRPr lang="en-US" sz="1100" b="0">
            <a:latin typeface="Arial" panose="020B0604020202020204" pitchFamily="34" charset="0"/>
            <a:cs typeface="Arial" panose="020B0604020202020204" pitchFamily="34" charset="0"/>
          </a:endParaRPr>
        </a:p>
      </xdr:txBody>
    </xdr:sp>
    <xdr:clientData/>
  </xdr:twoCellAnchor>
  <xdr:twoCellAnchor>
    <xdr:from>
      <xdr:col>4</xdr:col>
      <xdr:colOff>501650</xdr:colOff>
      <xdr:row>35</xdr:row>
      <xdr:rowOff>57149</xdr:rowOff>
    </xdr:from>
    <xdr:to>
      <xdr:col>8</xdr:col>
      <xdr:colOff>412750</xdr:colOff>
      <xdr:row>41</xdr:row>
      <xdr:rowOff>50800</xdr:rowOff>
    </xdr:to>
    <xdr:sp macro="" textlink="">
      <xdr:nvSpPr>
        <xdr:cNvPr id="31" name="TextBox 30">
          <a:extLst>
            <a:ext uri="{FF2B5EF4-FFF2-40B4-BE49-F238E27FC236}">
              <a16:creationId xmlns:a16="http://schemas.microsoft.com/office/drawing/2014/main" id="{A1D0B489-C44E-4A6E-0A54-DF20121CF06D}"/>
            </a:ext>
          </a:extLst>
        </xdr:cNvPr>
        <xdr:cNvSpPr txBox="1"/>
      </xdr:nvSpPr>
      <xdr:spPr>
        <a:xfrm>
          <a:off x="1949450" y="13620749"/>
          <a:ext cx="1968500" cy="151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US" sz="1200" b="1">
              <a:latin typeface="Arial" panose="020B0604020202020204" pitchFamily="34" charset="0"/>
              <a:cs typeface="Arial" panose="020B0604020202020204" pitchFamily="34" charset="0"/>
            </a:rPr>
            <a:t>Urgency of </a:t>
          </a:r>
        </a:p>
        <a:p>
          <a:pPr lvl="0" algn="l"/>
          <a:r>
            <a:rPr lang="en-US" sz="1200" b="1">
              <a:latin typeface="Arial" panose="020B0604020202020204" pitchFamily="34" charset="0"/>
              <a:cs typeface="Arial" panose="020B0604020202020204" pitchFamily="34" charset="0"/>
            </a:rPr>
            <a:t>their needs:</a:t>
          </a:r>
        </a:p>
        <a:p>
          <a:pPr lvl="0" algn="l">
            <a:lnSpc>
              <a:spcPts val="1200"/>
            </a:lnSpc>
          </a:pPr>
          <a:r>
            <a:rPr lang="en-US" sz="1100" b="1">
              <a:latin typeface="Arial" panose="020B0604020202020204" pitchFamily="34" charset="0"/>
              <a:cs typeface="Arial" panose="020B0604020202020204" pitchFamily="34" charset="0"/>
            </a:rPr>
            <a:t>   </a:t>
          </a:r>
          <a:r>
            <a:rPr lang="en-US" sz="1100" b="0">
              <a:latin typeface="Arial" panose="020B0604020202020204" pitchFamily="34" charset="0"/>
              <a:cs typeface="Arial" panose="020B0604020202020204" pitchFamily="34" charset="0"/>
            </a:rPr>
            <a:t>Utmost</a:t>
          </a:r>
          <a:r>
            <a:rPr lang="en-US" sz="1100" b="0" baseline="0">
              <a:latin typeface="Arial" panose="020B0604020202020204" pitchFamily="34" charset="0"/>
              <a:cs typeface="Arial" panose="020B0604020202020204" pitchFamily="34" charset="0"/>
            </a:rPr>
            <a:t> urgency</a:t>
          </a:r>
          <a:r>
            <a:rPr lang="en-US" sz="1100" b="0">
              <a:latin typeface="Arial" panose="020B0604020202020204" pitchFamily="34" charset="0"/>
              <a:cs typeface="Arial" panose="020B0604020202020204" pitchFamily="34" charset="0"/>
            </a:rPr>
            <a:t> = 50%</a:t>
          </a:r>
        </a:p>
        <a:p>
          <a:pPr lvl="0" algn="l">
            <a:lnSpc>
              <a:spcPts val="1200"/>
            </a:lnSpc>
          </a:pPr>
          <a:r>
            <a:rPr lang="en-US" sz="1100" b="0">
              <a:latin typeface="Arial" panose="020B0604020202020204" pitchFamily="34" charset="0"/>
              <a:cs typeface="Arial" panose="020B0604020202020204" pitchFamily="34" charset="0"/>
            </a:rPr>
            <a:t>   High urgency = 40%</a:t>
          </a:r>
        </a:p>
        <a:p>
          <a:pPr lvl="0" algn="l">
            <a:lnSpc>
              <a:spcPts val="1200"/>
            </a:lnSpc>
          </a:pPr>
          <a:r>
            <a:rPr lang="en-US" sz="1100" b="0">
              <a:latin typeface="Arial" panose="020B0604020202020204" pitchFamily="34" charset="0"/>
              <a:cs typeface="Arial" panose="020B0604020202020204" pitchFamily="34" charset="0"/>
            </a:rPr>
            <a:t>   Moderate urgency = 30%</a:t>
          </a:r>
        </a:p>
        <a:p>
          <a:pPr lvl="0" algn="l">
            <a:lnSpc>
              <a:spcPts val="1200"/>
            </a:lnSpc>
          </a:pPr>
          <a:r>
            <a:rPr lang="en-US" sz="1100" b="0" baseline="0">
              <a:latin typeface="Arial" panose="020B0604020202020204" pitchFamily="34" charset="0"/>
              <a:cs typeface="Arial" panose="020B0604020202020204" pitchFamily="34" charset="0"/>
            </a:rPr>
            <a:t>   Low urgency = 20%</a:t>
          </a:r>
        </a:p>
        <a:p>
          <a:pPr lvl="0" algn="l">
            <a:lnSpc>
              <a:spcPts val="1200"/>
            </a:lnSpc>
          </a:pPr>
          <a:r>
            <a:rPr lang="en-US" sz="1100" b="0" baseline="0">
              <a:latin typeface="Arial" panose="020B0604020202020204" pitchFamily="34" charset="0"/>
              <a:cs typeface="Arial" panose="020B0604020202020204" pitchFamily="34" charset="0"/>
            </a:rPr>
            <a:t>   No urgency = 10%</a:t>
          </a:r>
        </a:p>
        <a:p>
          <a:pPr lvl="0" algn="l">
            <a:lnSpc>
              <a:spcPts val="1200"/>
            </a:lnSpc>
          </a:pPr>
          <a:r>
            <a:rPr lang="en-US" sz="1100" b="0" baseline="0">
              <a:latin typeface="Arial" panose="020B0604020202020204" pitchFamily="34" charset="0"/>
              <a:cs typeface="Arial" panose="020B0604020202020204" pitchFamily="34" charset="0"/>
            </a:rPr>
            <a:t>   Unknown urgency = 0%</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488950</xdr:colOff>
      <xdr:row>33</xdr:row>
      <xdr:rowOff>615950</xdr:rowOff>
    </xdr:from>
    <xdr:to>
      <xdr:col>7</xdr:col>
      <xdr:colOff>457200</xdr:colOff>
      <xdr:row>35</xdr:row>
      <xdr:rowOff>44450</xdr:rowOff>
    </xdr:to>
    <xdr:sp macro="" textlink="">
      <xdr:nvSpPr>
        <xdr:cNvPr id="41" name="TextBox 40">
          <a:extLst>
            <a:ext uri="{FF2B5EF4-FFF2-40B4-BE49-F238E27FC236}">
              <a16:creationId xmlns:a16="http://schemas.microsoft.com/office/drawing/2014/main" id="{9E68FD50-A0D2-88D9-0748-E907284AE34D}"/>
            </a:ext>
          </a:extLst>
        </xdr:cNvPr>
        <xdr:cNvSpPr txBox="1"/>
      </xdr:nvSpPr>
      <xdr:spPr>
        <a:xfrm>
          <a:off x="2965450" y="13163550"/>
          <a:ext cx="4826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dk1"/>
              </a:solidFill>
              <a:effectLst/>
              <a:latin typeface="Arial" panose="020B0604020202020204" pitchFamily="34" charset="0"/>
              <a:ea typeface="+mn-ea"/>
              <a:cs typeface="Arial" panose="020B0604020202020204" pitchFamily="34" charset="0"/>
            </a:rPr>
            <a:t>—</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469900</xdr:colOff>
      <xdr:row>33</xdr:row>
      <xdr:rowOff>635000</xdr:rowOff>
    </xdr:from>
    <xdr:to>
      <xdr:col>7</xdr:col>
      <xdr:colOff>114300</xdr:colOff>
      <xdr:row>35</xdr:row>
      <xdr:rowOff>63500</xdr:rowOff>
    </xdr:to>
    <xdr:sp macro="" textlink="">
      <xdr:nvSpPr>
        <xdr:cNvPr id="44" name="TextBox 43">
          <a:extLst>
            <a:ext uri="{FF2B5EF4-FFF2-40B4-BE49-F238E27FC236}">
              <a16:creationId xmlns:a16="http://schemas.microsoft.com/office/drawing/2014/main" id="{FA08B6A9-43F1-AF90-C36C-E2084BBBAA78}"/>
            </a:ext>
          </a:extLst>
        </xdr:cNvPr>
        <xdr:cNvSpPr txBox="1"/>
      </xdr:nvSpPr>
      <xdr:spPr>
        <a:xfrm>
          <a:off x="1917700" y="13182600"/>
          <a:ext cx="118745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Arial" panose="020B0604020202020204" pitchFamily="34" charset="0"/>
              <a:cs typeface="Arial" panose="020B0604020202020204" pitchFamily="34" charset="0"/>
            </a:rPr>
            <a:t>urgency of their</a:t>
          </a:r>
          <a:r>
            <a:rPr lang="en-US" sz="1200" b="1" baseline="0">
              <a:latin typeface="Arial" panose="020B0604020202020204" pitchFamily="34" charset="0"/>
              <a:cs typeface="Arial" panose="020B0604020202020204" pitchFamily="34" charset="0"/>
            </a:rPr>
            <a:t> need</a:t>
          </a:r>
          <a:endParaRPr lang="en-US" sz="1200" b="1">
            <a:latin typeface="Arial" panose="020B0604020202020204" pitchFamily="34" charset="0"/>
            <a:cs typeface="Arial" panose="020B0604020202020204" pitchFamily="34" charset="0"/>
          </a:endParaRPr>
        </a:p>
      </xdr:txBody>
    </xdr:sp>
    <xdr:clientData/>
  </xdr:twoCellAnchor>
  <xdr:twoCellAnchor>
    <xdr:from>
      <xdr:col>4</xdr:col>
      <xdr:colOff>31750</xdr:colOff>
      <xdr:row>33</xdr:row>
      <xdr:rowOff>635000</xdr:rowOff>
    </xdr:from>
    <xdr:to>
      <xdr:col>5</xdr:col>
      <xdr:colOff>120650</xdr:colOff>
      <xdr:row>35</xdr:row>
      <xdr:rowOff>63500</xdr:rowOff>
    </xdr:to>
    <xdr:sp macro="" textlink="">
      <xdr:nvSpPr>
        <xdr:cNvPr id="45" name="TextBox 44">
          <a:extLst>
            <a:ext uri="{FF2B5EF4-FFF2-40B4-BE49-F238E27FC236}">
              <a16:creationId xmlns:a16="http://schemas.microsoft.com/office/drawing/2014/main" id="{A1400666-A192-AA1B-9C5B-7938AF01AC38}"/>
            </a:ext>
          </a:extLst>
        </xdr:cNvPr>
        <xdr:cNvSpPr txBox="1"/>
      </xdr:nvSpPr>
      <xdr:spPr>
        <a:xfrm>
          <a:off x="1479550" y="13182600"/>
          <a:ext cx="60325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latin typeface="Arial" panose="020B0604020202020204" pitchFamily="34" charset="0"/>
              <a:cs typeface="Arial" panose="020B0604020202020204" pitchFamily="34" charset="0"/>
            </a:rPr>
            <a:t>+</a:t>
          </a:r>
        </a:p>
      </xdr:txBody>
    </xdr:sp>
    <xdr:clientData/>
  </xdr:twoCellAnchor>
  <xdr:twoCellAnchor>
    <xdr:from>
      <xdr:col>7</xdr:col>
      <xdr:colOff>463550</xdr:colOff>
      <xdr:row>33</xdr:row>
      <xdr:rowOff>609600</xdr:rowOff>
    </xdr:from>
    <xdr:to>
      <xdr:col>10</xdr:col>
      <xdr:colOff>177800</xdr:colOff>
      <xdr:row>35</xdr:row>
      <xdr:rowOff>38100</xdr:rowOff>
    </xdr:to>
    <xdr:sp macro="" textlink="">
      <xdr:nvSpPr>
        <xdr:cNvPr id="53" name="TextBox 52">
          <a:extLst>
            <a:ext uri="{FF2B5EF4-FFF2-40B4-BE49-F238E27FC236}">
              <a16:creationId xmlns:a16="http://schemas.microsoft.com/office/drawing/2014/main" id="{09B074D2-B297-D752-4856-B1E86BED9372}"/>
            </a:ext>
          </a:extLst>
        </xdr:cNvPr>
        <xdr:cNvSpPr txBox="1"/>
      </xdr:nvSpPr>
      <xdr:spPr>
        <a:xfrm>
          <a:off x="3454400" y="13157200"/>
          <a:ext cx="12573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dk1"/>
              </a:solidFill>
              <a:effectLst/>
              <a:latin typeface="Arial" panose="020B0604020202020204" pitchFamily="34" charset="0"/>
              <a:ea typeface="+mn-ea"/>
              <a:cs typeface="Arial" panose="020B0604020202020204" pitchFamily="34" charset="0"/>
            </a:rPr>
            <a:t>days for them to respond</a:t>
          </a:r>
          <a:endParaRPr lang="en-US" sz="1200" b="1">
            <a:latin typeface="Arial" panose="020B0604020202020204" pitchFamily="34" charset="0"/>
            <a:cs typeface="Arial" panose="020B0604020202020204" pitchFamily="34" charset="0"/>
          </a:endParaRPr>
        </a:p>
      </xdr:txBody>
    </xdr:sp>
    <xdr:clientData/>
  </xdr:twoCellAnchor>
  <xdr:twoCellAnchor>
    <xdr:from>
      <xdr:col>10</xdr:col>
      <xdr:colOff>95250</xdr:colOff>
      <xdr:row>33</xdr:row>
      <xdr:rowOff>596900</xdr:rowOff>
    </xdr:from>
    <xdr:to>
      <xdr:col>14</xdr:col>
      <xdr:colOff>0</xdr:colOff>
      <xdr:row>35</xdr:row>
      <xdr:rowOff>25400</xdr:rowOff>
    </xdr:to>
    <xdr:sp macro="" textlink="">
      <xdr:nvSpPr>
        <xdr:cNvPr id="54" name="TextBox 53">
          <a:extLst>
            <a:ext uri="{FF2B5EF4-FFF2-40B4-BE49-F238E27FC236}">
              <a16:creationId xmlns:a16="http://schemas.microsoft.com/office/drawing/2014/main" id="{4C0385D3-5C0A-59CC-AA8C-B8423BA17EF1}"/>
            </a:ext>
          </a:extLst>
        </xdr:cNvPr>
        <xdr:cNvSpPr txBox="1"/>
      </xdr:nvSpPr>
      <xdr:spPr>
        <a:xfrm>
          <a:off x="4629150" y="13144500"/>
          <a:ext cx="177165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dk1"/>
              </a:solidFill>
              <a:effectLst/>
              <a:latin typeface="Arial" panose="020B0604020202020204" pitchFamily="34" charset="0"/>
              <a:ea typeface="+mn-ea"/>
              <a:cs typeface="Arial" panose="020B0604020202020204" pitchFamily="34" charset="0"/>
            </a:rPr>
            <a:t>=  </a:t>
          </a:r>
          <a:r>
            <a:rPr lang="en-US" sz="1200" b="1">
              <a:solidFill>
                <a:schemeClr val="dk1"/>
              </a:solidFill>
              <a:effectLst/>
              <a:latin typeface="Arial" panose="020B0604020202020204" pitchFamily="34" charset="0"/>
              <a:ea typeface="+mn-ea"/>
              <a:cs typeface="Arial" panose="020B0604020202020204" pitchFamily="34" charset="0"/>
            </a:rPr>
            <a:t> responsive score</a:t>
          </a:r>
          <a:endParaRPr lang="en-US" sz="1200" b="1">
            <a:latin typeface="Arial" panose="020B0604020202020204" pitchFamily="34" charset="0"/>
            <a:cs typeface="Arial" panose="020B0604020202020204" pitchFamily="34" charset="0"/>
          </a:endParaRPr>
        </a:p>
      </xdr:txBody>
    </xdr:sp>
    <xdr:clientData/>
  </xdr:twoCellAnchor>
  <xdr:twoCellAnchor>
    <xdr:from>
      <xdr:col>33</xdr:col>
      <xdr:colOff>63500</xdr:colOff>
      <xdr:row>1056</xdr:row>
      <xdr:rowOff>114300</xdr:rowOff>
    </xdr:from>
    <xdr:to>
      <xdr:col>43</xdr:col>
      <xdr:colOff>241300</xdr:colOff>
      <xdr:row>1058</xdr:row>
      <xdr:rowOff>101600</xdr:rowOff>
    </xdr:to>
    <xdr:sp macro="" textlink="">
      <xdr:nvSpPr>
        <xdr:cNvPr id="55" name="TextBox 54">
          <a:extLst>
            <a:ext uri="{FF2B5EF4-FFF2-40B4-BE49-F238E27FC236}">
              <a16:creationId xmlns:a16="http://schemas.microsoft.com/office/drawing/2014/main" id="{21DAED49-8282-409C-8C5B-588AA46B0A93}"/>
            </a:ext>
          </a:extLst>
        </xdr:cNvPr>
        <xdr:cNvSpPr txBox="1"/>
      </xdr:nvSpPr>
      <xdr:spPr>
        <a:xfrm>
          <a:off x="15868650" y="302590200"/>
          <a:ext cx="64008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You seeme</a:t>
          </a:r>
          <a:r>
            <a:rPr lang="en-US" sz="1200" baseline="0">
              <a:latin typeface="Arial" panose="020B0604020202020204" pitchFamily="34" charset="0"/>
              <a:cs typeface="Arial" panose="020B0604020202020204" pitchFamily="34" charset="0"/>
            </a:rPr>
            <a:t>d </a:t>
          </a:r>
          <a:r>
            <a:rPr lang="en-US" sz="1200" b="1" baseline="0">
              <a:latin typeface="Arial" panose="020B0604020202020204" pitchFamily="34" charset="0"/>
              <a:cs typeface="Arial" panose="020B0604020202020204" pitchFamily="34" charset="0"/>
            </a:rPr>
            <a:t>moderately appreciative</a:t>
          </a:r>
          <a:r>
            <a:rPr lang="en-US" sz="1200" baseline="0">
              <a:latin typeface="Arial" panose="020B0604020202020204" pitchFamily="34" charset="0"/>
              <a:cs typeface="Arial" panose="020B0604020202020204" pitchFamily="34" charset="0"/>
            </a:rPr>
            <a:t> of my efforts to serve your expressed need = </a:t>
          </a:r>
          <a:r>
            <a:rPr lang="en-US" sz="1200" b="1" baseline="0">
              <a:latin typeface="Arial" panose="020B0604020202020204" pitchFamily="34" charset="0"/>
              <a:cs typeface="Arial" panose="020B0604020202020204" pitchFamily="34" charset="0"/>
            </a:rPr>
            <a:t>80%</a:t>
          </a:r>
          <a:r>
            <a:rPr lang="en-US" sz="1200" baseline="0">
              <a:latin typeface="Arial" panose="020B0604020202020204" pitchFamily="34" charset="0"/>
              <a:cs typeface="Arial" panose="020B0604020202020204" pitchFamily="34" charset="0"/>
            </a:rPr>
            <a:t>.</a:t>
          </a:r>
          <a:endParaRPr lang="en-US" sz="1200">
            <a:latin typeface="Arial" panose="020B0604020202020204" pitchFamily="34" charset="0"/>
            <a:cs typeface="Arial" panose="020B0604020202020204" pitchFamily="34" charset="0"/>
          </a:endParaRPr>
        </a:p>
      </xdr:txBody>
    </xdr:sp>
    <xdr:clientData/>
  </xdr:twoCellAnchor>
  <xdr:twoCellAnchor>
    <xdr:from>
      <xdr:col>0</xdr:col>
      <xdr:colOff>38100</xdr:colOff>
      <xdr:row>682</xdr:row>
      <xdr:rowOff>685800</xdr:rowOff>
    </xdr:from>
    <xdr:to>
      <xdr:col>13</xdr:col>
      <xdr:colOff>42672</xdr:colOff>
      <xdr:row>687</xdr:row>
      <xdr:rowOff>114300</xdr:rowOff>
    </xdr:to>
    <xdr:sp macro="" textlink="">
      <xdr:nvSpPr>
        <xdr:cNvPr id="34" name="Rectangle: Rounded Corners 33">
          <a:extLst>
            <a:ext uri="{FF2B5EF4-FFF2-40B4-BE49-F238E27FC236}">
              <a16:creationId xmlns:a16="http://schemas.microsoft.com/office/drawing/2014/main" id="{E0486726-097B-59B6-ADF6-7245569DD365}"/>
            </a:ext>
          </a:extLst>
        </xdr:cNvPr>
        <xdr:cNvSpPr/>
      </xdr:nvSpPr>
      <xdr:spPr>
        <a:xfrm>
          <a:off x="38100" y="226910900"/>
          <a:ext cx="6291072" cy="2286000"/>
        </a:xfrm>
        <a:prstGeom prst="roundRect">
          <a:avLst>
            <a:gd name="adj" fmla="val 8821"/>
          </a:avLst>
        </a:prstGeom>
        <a:solidFill>
          <a:srgbClr val="FFFF00">
            <a:alpha val="5098"/>
          </a:srgbClr>
        </a:solidFill>
        <a:ln w="57150">
          <a:solidFill>
            <a:srgbClr val="FFFF00">
              <a:alpha val="25098"/>
            </a:srgbClr>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57150</xdr:colOff>
      <xdr:row>695</xdr:row>
      <xdr:rowOff>152400</xdr:rowOff>
    </xdr:from>
    <xdr:to>
      <xdr:col>7</xdr:col>
      <xdr:colOff>152400</xdr:colOff>
      <xdr:row>696</xdr:row>
      <xdr:rowOff>152400</xdr:rowOff>
    </xdr:to>
    <xdr:sp macro="" textlink="">
      <xdr:nvSpPr>
        <xdr:cNvPr id="13" name="Rectangle: Rounded Corners 12">
          <a:hlinkClick xmlns:r="http://schemas.openxmlformats.org/officeDocument/2006/relationships" r:id="rId19" tooltip="click to go to &quot;follow-up&quot; tab"/>
          <a:extLst>
            <a:ext uri="{FF2B5EF4-FFF2-40B4-BE49-F238E27FC236}">
              <a16:creationId xmlns:a16="http://schemas.microsoft.com/office/drawing/2014/main" id="{EFF6F524-1044-A12A-F644-DDF3BE837D8C}"/>
            </a:ext>
          </a:extLst>
        </xdr:cNvPr>
        <xdr:cNvSpPr/>
      </xdr:nvSpPr>
      <xdr:spPr>
        <a:xfrm>
          <a:off x="171450" y="248602500"/>
          <a:ext cx="2971800" cy="1143000"/>
        </a:xfrm>
        <a:prstGeom prst="roundRect">
          <a:avLst>
            <a:gd name="adj" fmla="val 7102"/>
          </a:avLst>
        </a:prstGeom>
        <a:solidFill>
          <a:srgbClr val="004221"/>
        </a:solidFill>
        <a:ln>
          <a:noFill/>
        </a:ln>
        <a:effectLst>
          <a:glow rad="101600">
            <a:schemeClr val="accent6">
              <a:satMod val="175000"/>
              <a:alpha val="40000"/>
            </a:schemeClr>
          </a:glow>
          <a:outerShdw blurRad="63500" sx="102000" sy="102000" algn="ctr" rotWithShape="0">
            <a:prstClr val="black">
              <a:alpha val="40000"/>
            </a:prstClr>
          </a:outerShdw>
        </a:effectLst>
        <a:scene3d>
          <a:camera prst="orthographicFront"/>
          <a:lightRig rig="threePt" dir="t">
            <a:rot lat="0" lon="0" rev="10800000"/>
          </a:lightRig>
        </a:scene3d>
        <a:sp3d>
          <a:bevelT w="101600" h="50800" prst="softRound"/>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spcAft>
              <a:spcPts val="600"/>
            </a:spcAft>
          </a:pPr>
          <a:r>
            <a:rPr lang="en-US" sz="20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A. follow-up</a:t>
          </a:r>
          <a:endParaRPr lang="en-US" sz="14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endParaRPr>
        </a:p>
        <a:p>
          <a:pPr algn="ctr"/>
          <a:r>
            <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If invitee has yet to respond to your invitation to express</a:t>
          </a:r>
          <a:r>
            <a:rPr lang="en-US" sz="1200" b="1" baseline="0">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 a need...</a:t>
          </a:r>
          <a:endPar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7</xdr:col>
      <xdr:colOff>292100</xdr:colOff>
      <xdr:row>695</xdr:row>
      <xdr:rowOff>152400</xdr:rowOff>
    </xdr:from>
    <xdr:to>
      <xdr:col>12</xdr:col>
      <xdr:colOff>692150</xdr:colOff>
      <xdr:row>696</xdr:row>
      <xdr:rowOff>152400</xdr:rowOff>
    </xdr:to>
    <xdr:sp macro="" textlink="">
      <xdr:nvSpPr>
        <xdr:cNvPr id="18" name="Rectangle: Rounded Corners 17">
          <a:hlinkClick xmlns:r="http://schemas.openxmlformats.org/officeDocument/2006/relationships" r:id="rId20" tooltip="click to go to &quot;rate me&quot; tab"/>
          <a:extLst>
            <a:ext uri="{FF2B5EF4-FFF2-40B4-BE49-F238E27FC236}">
              <a16:creationId xmlns:a16="http://schemas.microsoft.com/office/drawing/2014/main" id="{85CD17AD-C749-575F-5FB9-DBFA592642DB}"/>
            </a:ext>
          </a:extLst>
        </xdr:cNvPr>
        <xdr:cNvSpPr/>
      </xdr:nvSpPr>
      <xdr:spPr>
        <a:xfrm>
          <a:off x="3282950" y="248602500"/>
          <a:ext cx="2971800" cy="1143000"/>
        </a:xfrm>
        <a:prstGeom prst="roundRect">
          <a:avLst>
            <a:gd name="adj" fmla="val 7102"/>
          </a:avLst>
        </a:prstGeom>
        <a:solidFill>
          <a:srgbClr val="004221"/>
        </a:solidFill>
        <a:ln>
          <a:noFill/>
        </a:ln>
        <a:effectLst>
          <a:glow rad="101600">
            <a:schemeClr val="accent6">
              <a:satMod val="175000"/>
              <a:alpha val="40000"/>
            </a:schemeClr>
          </a:glow>
          <a:outerShdw blurRad="63500" sx="102000" sy="102000" algn="ctr" rotWithShape="0">
            <a:prstClr val="black">
              <a:alpha val="40000"/>
            </a:prstClr>
          </a:outerShdw>
        </a:effectLst>
        <a:scene3d>
          <a:camera prst="orthographicFront"/>
          <a:lightRig rig="threePt" dir="t">
            <a:rot lat="0" lon="0" rev="10800000"/>
          </a:lightRig>
        </a:scene3d>
        <a:sp3d>
          <a:bevelT w="101600" h="50800" prst="softRound"/>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spcAft>
              <a:spcPts val="600"/>
            </a:spcAft>
          </a:pPr>
          <a:r>
            <a:rPr lang="en-US" sz="20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B. rate me</a:t>
          </a:r>
        </a:p>
        <a:p>
          <a:pPr algn="ctr"/>
          <a:r>
            <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Once you serve the need, ask them how effective was your</a:t>
          </a:r>
          <a:r>
            <a:rPr lang="en-US" sz="1200" b="1" baseline="0">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 service...</a:t>
          </a:r>
          <a:endPar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1</xdr:col>
      <xdr:colOff>57150</xdr:colOff>
      <xdr:row>698</xdr:row>
      <xdr:rowOff>349250</xdr:rowOff>
    </xdr:from>
    <xdr:to>
      <xdr:col>7</xdr:col>
      <xdr:colOff>152400</xdr:colOff>
      <xdr:row>699</xdr:row>
      <xdr:rowOff>730250</xdr:rowOff>
    </xdr:to>
    <xdr:sp macro="" textlink="">
      <xdr:nvSpPr>
        <xdr:cNvPr id="24" name="Rectangle: Rounded Corners 23">
          <a:hlinkClick xmlns:r="http://schemas.openxmlformats.org/officeDocument/2006/relationships" r:id="rId21" tooltip="click to go to &quot;PNP tab"/>
          <a:extLst>
            <a:ext uri="{FF2B5EF4-FFF2-40B4-BE49-F238E27FC236}">
              <a16:creationId xmlns:a16="http://schemas.microsoft.com/office/drawing/2014/main" id="{0B26E8CC-33B7-4954-87AE-0BCCB06E1513}"/>
            </a:ext>
          </a:extLst>
        </xdr:cNvPr>
        <xdr:cNvSpPr/>
      </xdr:nvSpPr>
      <xdr:spPr>
        <a:xfrm>
          <a:off x="171450" y="251275850"/>
          <a:ext cx="2971800" cy="1143000"/>
        </a:xfrm>
        <a:prstGeom prst="roundRect">
          <a:avLst>
            <a:gd name="adj" fmla="val 7102"/>
          </a:avLst>
        </a:prstGeom>
        <a:solidFill>
          <a:srgbClr val="004221"/>
        </a:solidFill>
        <a:ln>
          <a:noFill/>
        </a:ln>
        <a:effectLst>
          <a:glow rad="101600">
            <a:schemeClr val="accent6">
              <a:satMod val="175000"/>
              <a:alpha val="40000"/>
            </a:schemeClr>
          </a:glow>
          <a:outerShdw blurRad="63500" sx="102000" sy="102000" algn="ctr" rotWithShape="0">
            <a:prstClr val="black">
              <a:alpha val="40000"/>
            </a:prstClr>
          </a:outerShdw>
        </a:effectLst>
        <a:scene3d>
          <a:camera prst="orthographicFront"/>
          <a:lightRig rig="threePt" dir="t">
            <a:rot lat="0" lon="0" rev="10800000"/>
          </a:lightRig>
        </a:scene3d>
        <a:sp3d>
          <a:bevelT w="101600" h="50800" prst="softRound"/>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spcAft>
              <a:spcPts val="600"/>
            </a:spcAft>
          </a:pPr>
          <a:r>
            <a:rPr lang="en-US" sz="20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C. PNP</a:t>
          </a:r>
          <a:endParaRPr lang="en-US" sz="14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endParaRPr>
        </a:p>
        <a:p>
          <a:pPr algn="ctr"/>
          <a:r>
            <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Express a need to</a:t>
          </a:r>
          <a:r>
            <a:rPr lang="en-US" sz="1200" b="1" baseline="0">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 each invitee in a way that instills mutuality...</a:t>
          </a:r>
          <a:endPar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7</xdr:col>
      <xdr:colOff>292100</xdr:colOff>
      <xdr:row>698</xdr:row>
      <xdr:rowOff>349250</xdr:rowOff>
    </xdr:from>
    <xdr:to>
      <xdr:col>12</xdr:col>
      <xdr:colOff>692150</xdr:colOff>
      <xdr:row>699</xdr:row>
      <xdr:rowOff>730250</xdr:rowOff>
    </xdr:to>
    <xdr:sp macro="" textlink="">
      <xdr:nvSpPr>
        <xdr:cNvPr id="25" name="Rectangle: Rounded Corners 24">
          <a:hlinkClick xmlns:r="http://schemas.openxmlformats.org/officeDocument/2006/relationships" r:id="rId22" tooltip="click to go to &quot;invite&quot; tab"/>
          <a:extLst>
            <a:ext uri="{FF2B5EF4-FFF2-40B4-BE49-F238E27FC236}">
              <a16:creationId xmlns:a16="http://schemas.microsoft.com/office/drawing/2014/main" id="{F712D825-F95F-7230-808A-EF5D15CFEFF4}"/>
            </a:ext>
          </a:extLst>
        </xdr:cNvPr>
        <xdr:cNvSpPr/>
      </xdr:nvSpPr>
      <xdr:spPr>
        <a:xfrm>
          <a:off x="3282950" y="251275850"/>
          <a:ext cx="2971800" cy="1143000"/>
        </a:xfrm>
        <a:prstGeom prst="roundRect">
          <a:avLst>
            <a:gd name="adj" fmla="val 7102"/>
          </a:avLst>
        </a:prstGeom>
        <a:solidFill>
          <a:srgbClr val="004221"/>
        </a:solidFill>
        <a:ln>
          <a:noFill/>
        </a:ln>
        <a:effectLst>
          <a:glow rad="101600">
            <a:schemeClr val="accent6">
              <a:satMod val="175000"/>
              <a:alpha val="40000"/>
            </a:schemeClr>
          </a:glow>
          <a:outerShdw blurRad="63500" sx="102000" sy="102000" algn="ctr" rotWithShape="0">
            <a:prstClr val="black">
              <a:alpha val="40000"/>
            </a:prstClr>
          </a:outerShdw>
        </a:effectLst>
        <a:scene3d>
          <a:camera prst="orthographicFront"/>
          <a:lightRig rig="threePt" dir="t">
            <a:rot lat="0" lon="0" rev="10800000"/>
          </a:lightRig>
        </a:scene3d>
        <a:sp3d>
          <a:bevelT w="101600" h="50800" prst="softRound"/>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91440" rIns="91440" rtlCol="0" anchor="ctr"/>
        <a:lstStyle/>
        <a:p>
          <a:pPr algn="ctr">
            <a:spcAft>
              <a:spcPts val="600"/>
            </a:spcAft>
          </a:pPr>
          <a:r>
            <a:rPr lang="en-US" sz="20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D. invite</a:t>
          </a:r>
        </a:p>
        <a:p>
          <a:pPr algn="ctr"/>
          <a:r>
            <a:rPr lang="en-US" sz="1200" b="1">
              <a:effectLst>
                <a:outerShdw blurRad="50800" dist="38100" dir="5400000" algn="t" rotWithShape="0">
                  <a:prstClr val="black">
                    <a:alpha val="40000"/>
                  </a:prstClr>
                </a:outerShdw>
              </a:effectLst>
              <a:latin typeface="Arial" panose="020B0604020202020204" pitchFamily="34" charset="0"/>
              <a:cs typeface="Arial" panose="020B0604020202020204" pitchFamily="34" charset="0"/>
            </a:rPr>
            <a:t>Invite each to join your wellness campaign with responsive scores...</a:t>
          </a:r>
        </a:p>
      </xdr:txBody>
    </xdr:sp>
    <xdr:clientData/>
  </xdr:twoCellAnchor>
  <xdr:twoCellAnchor>
    <xdr:from>
      <xdr:col>1</xdr:col>
      <xdr:colOff>69850</xdr:colOff>
      <xdr:row>696</xdr:row>
      <xdr:rowOff>292100</xdr:rowOff>
    </xdr:from>
    <xdr:to>
      <xdr:col>7</xdr:col>
      <xdr:colOff>119380</xdr:colOff>
      <xdr:row>698</xdr:row>
      <xdr:rowOff>330200</xdr:rowOff>
    </xdr:to>
    <xdr:sp macro="" textlink="">
      <xdr:nvSpPr>
        <xdr:cNvPr id="26" name="TextBox 25">
          <a:extLst>
            <a:ext uri="{FF2B5EF4-FFF2-40B4-BE49-F238E27FC236}">
              <a16:creationId xmlns:a16="http://schemas.microsoft.com/office/drawing/2014/main" id="{0D7E6D93-CE66-1513-4DBA-A80EE554EAEE}"/>
            </a:ext>
          </a:extLst>
        </xdr:cNvPr>
        <xdr:cNvSpPr txBox="1"/>
      </xdr:nvSpPr>
      <xdr:spPr>
        <a:xfrm>
          <a:off x="184150" y="249885200"/>
          <a:ext cx="292608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spc="-20">
              <a:solidFill>
                <a:srgbClr val="003219"/>
              </a:solidFill>
              <a:latin typeface="Arial" panose="020B0604020202020204" pitchFamily="34" charset="0"/>
              <a:cs typeface="Arial" panose="020B0604020202020204" pitchFamily="34" charset="0"/>
            </a:rPr>
            <a:t>You</a:t>
          </a:r>
          <a:r>
            <a:rPr lang="en-US" sz="1200" spc="-20" baseline="0">
              <a:solidFill>
                <a:srgbClr val="003219"/>
              </a:solidFill>
              <a:latin typeface="Arial" panose="020B0604020202020204" pitchFamily="34" charset="0"/>
              <a:cs typeface="Arial" panose="020B0604020202020204" pitchFamily="34" charset="0"/>
            </a:rPr>
            <a:t> first respect your invitee's need for time </a:t>
          </a:r>
          <a:r>
            <a:rPr lang="en-US" sz="1200" baseline="0">
              <a:solidFill>
                <a:srgbClr val="003219"/>
              </a:solidFill>
              <a:latin typeface="Arial" panose="020B0604020202020204" pitchFamily="34" charset="0"/>
              <a:cs typeface="Arial" panose="020B0604020202020204" pitchFamily="34" charset="0"/>
            </a:rPr>
            <a:t>to think up a need you can serve. But </a:t>
          </a:r>
          <a:r>
            <a:rPr lang="en-US" sz="1200" spc="-30" baseline="0">
              <a:solidFill>
                <a:srgbClr val="003219"/>
              </a:solidFill>
              <a:latin typeface="Arial" panose="020B0604020202020204" pitchFamily="34" charset="0"/>
              <a:cs typeface="Arial" panose="020B0604020202020204" pitchFamily="34" charset="0"/>
            </a:rPr>
            <a:t>after granting them time, they understandably </a:t>
          </a:r>
          <a:r>
            <a:rPr lang="en-US" sz="1200" baseline="0">
              <a:solidFill>
                <a:srgbClr val="003219"/>
              </a:solidFill>
              <a:latin typeface="Arial" panose="020B0604020202020204" pitchFamily="34" charset="0"/>
              <a:cs typeface="Arial" panose="020B0604020202020204" pitchFamily="34" charset="0"/>
            </a:rPr>
            <a:t>may forget. So do gently remind them. Use this message template to warmly remind them how you still await their responsiveness.</a:t>
          </a:r>
          <a:endParaRPr lang="en-US" sz="1200">
            <a:solidFill>
              <a:srgbClr val="003219"/>
            </a:solidFill>
            <a:latin typeface="Arial" panose="020B0604020202020204" pitchFamily="34" charset="0"/>
            <a:cs typeface="Arial" panose="020B0604020202020204" pitchFamily="34" charset="0"/>
          </a:endParaRPr>
        </a:p>
      </xdr:txBody>
    </xdr:sp>
    <xdr:clientData/>
  </xdr:twoCellAnchor>
  <xdr:twoCellAnchor>
    <xdr:from>
      <xdr:col>7</xdr:col>
      <xdr:colOff>311150</xdr:colOff>
      <xdr:row>696</xdr:row>
      <xdr:rowOff>292100</xdr:rowOff>
    </xdr:from>
    <xdr:to>
      <xdr:col>12</xdr:col>
      <xdr:colOff>665480</xdr:colOff>
      <xdr:row>698</xdr:row>
      <xdr:rowOff>330200</xdr:rowOff>
    </xdr:to>
    <xdr:sp macro="" textlink="">
      <xdr:nvSpPr>
        <xdr:cNvPr id="42" name="TextBox 41">
          <a:extLst>
            <a:ext uri="{FF2B5EF4-FFF2-40B4-BE49-F238E27FC236}">
              <a16:creationId xmlns:a16="http://schemas.microsoft.com/office/drawing/2014/main" id="{CC8FB6DA-2BE1-D5E3-98DA-F3FE3C566EA6}"/>
            </a:ext>
          </a:extLst>
        </xdr:cNvPr>
        <xdr:cNvSpPr txBox="1"/>
      </xdr:nvSpPr>
      <xdr:spPr>
        <a:xfrm>
          <a:off x="3302000" y="249885200"/>
          <a:ext cx="292608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spc="-20" baseline="0">
              <a:solidFill>
                <a:srgbClr val="003219"/>
              </a:solidFill>
              <a:latin typeface="Arial" panose="020B0604020202020204" pitchFamily="34" charset="0"/>
              <a:cs typeface="Arial" panose="020B0604020202020204" pitchFamily="34" charset="0"/>
            </a:rPr>
            <a:t>You served their expressed need, great. But </a:t>
          </a:r>
          <a:r>
            <a:rPr lang="en-US" sz="1200" spc="-20">
              <a:solidFill>
                <a:srgbClr val="003219"/>
              </a:solidFill>
              <a:latin typeface="Arial" panose="020B0604020202020204" pitchFamily="34" charset="0"/>
              <a:cs typeface="Arial" panose="020B0604020202020204" pitchFamily="34" charset="0"/>
            </a:rPr>
            <a:t>how well did</a:t>
          </a:r>
          <a:r>
            <a:rPr lang="en-US" sz="1200" spc="-20" baseline="0">
              <a:solidFill>
                <a:srgbClr val="003219"/>
              </a:solidFill>
              <a:latin typeface="Arial" panose="020B0604020202020204" pitchFamily="34" charset="0"/>
              <a:cs typeface="Arial" panose="020B0604020202020204" pitchFamily="34" charset="0"/>
            </a:rPr>
            <a:t> you serve it? Use this message </a:t>
          </a:r>
          <a:r>
            <a:rPr lang="en-US" sz="1200" baseline="0">
              <a:solidFill>
                <a:srgbClr val="003219"/>
              </a:solidFill>
              <a:latin typeface="Arial" panose="020B0604020202020204" pitchFamily="34" charset="0"/>
              <a:cs typeface="Arial" panose="020B0604020202020204" pitchFamily="34" charset="0"/>
            </a:rPr>
            <a:t>template to get their helpful feedback. You can also get their sense of urgency for the need, to validate or invalidate your original estimation of its meaningfulness to them.</a:t>
          </a:r>
          <a:endParaRPr lang="en-US" sz="1200">
            <a:solidFill>
              <a:srgbClr val="003219"/>
            </a:solidFill>
            <a:latin typeface="Arial" panose="020B0604020202020204" pitchFamily="34" charset="0"/>
            <a:cs typeface="Arial" panose="020B0604020202020204" pitchFamily="34" charset="0"/>
          </a:endParaRPr>
        </a:p>
      </xdr:txBody>
    </xdr:sp>
    <xdr:clientData/>
  </xdr:twoCellAnchor>
  <xdr:twoCellAnchor>
    <xdr:from>
      <xdr:col>1</xdr:col>
      <xdr:colOff>69850</xdr:colOff>
      <xdr:row>699</xdr:row>
      <xdr:rowOff>908050</xdr:rowOff>
    </xdr:from>
    <xdr:to>
      <xdr:col>7</xdr:col>
      <xdr:colOff>119380</xdr:colOff>
      <xdr:row>702</xdr:row>
      <xdr:rowOff>184150</xdr:rowOff>
    </xdr:to>
    <xdr:sp macro="" textlink="">
      <xdr:nvSpPr>
        <xdr:cNvPr id="43" name="TextBox 42">
          <a:extLst>
            <a:ext uri="{FF2B5EF4-FFF2-40B4-BE49-F238E27FC236}">
              <a16:creationId xmlns:a16="http://schemas.microsoft.com/office/drawing/2014/main" id="{247D5BCF-E753-12B8-F147-61BFAE675C93}"/>
            </a:ext>
          </a:extLst>
        </xdr:cNvPr>
        <xdr:cNvSpPr txBox="1"/>
      </xdr:nvSpPr>
      <xdr:spPr>
        <a:xfrm>
          <a:off x="184150" y="252596650"/>
          <a:ext cx="292608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a:solidFill>
                <a:srgbClr val="003219"/>
              </a:solidFill>
              <a:latin typeface="Arial" panose="020B0604020202020204" pitchFamily="34" charset="0"/>
              <a:cs typeface="Arial" panose="020B0604020202020204" pitchFamily="34" charset="0"/>
            </a:rPr>
            <a:t>We</a:t>
          </a:r>
          <a:r>
            <a:rPr lang="en-US" sz="1200" baseline="0">
              <a:solidFill>
                <a:srgbClr val="003219"/>
              </a:solidFill>
              <a:latin typeface="Arial" panose="020B0604020202020204" pitchFamily="34" charset="0"/>
              <a:cs typeface="Arial" panose="020B0604020202020204" pitchFamily="34" charset="0"/>
            </a:rPr>
            <a:t> naturally seek some r</a:t>
          </a:r>
          <a:r>
            <a:rPr lang="en-US" sz="1200">
              <a:solidFill>
                <a:srgbClr val="003219"/>
              </a:solidFill>
              <a:latin typeface="Arial" panose="020B0604020202020204" pitchFamily="34" charset="0"/>
              <a:cs typeface="Arial" panose="020B0604020202020204" pitchFamily="34" charset="0"/>
            </a:rPr>
            <a:t>eciprocity in our relations. The more you</a:t>
          </a:r>
          <a:r>
            <a:rPr lang="en-US" sz="1200" baseline="0">
              <a:solidFill>
                <a:srgbClr val="003219"/>
              </a:solidFill>
              <a:latin typeface="Arial" panose="020B0604020202020204" pitchFamily="34" charset="0"/>
              <a:cs typeface="Arial" panose="020B0604020202020204" pitchFamily="34" charset="0"/>
            </a:rPr>
            <a:t> satisfy their need, the more they wonder how they can serve some need of yours. That bedrock principle </a:t>
          </a:r>
          <a:r>
            <a:rPr lang="en-US" sz="1200" spc="-20" baseline="0">
              <a:solidFill>
                <a:srgbClr val="003219"/>
              </a:solidFill>
              <a:latin typeface="Arial" panose="020B0604020202020204" pitchFamily="34" charset="0"/>
              <a:cs typeface="Arial" panose="020B0604020202020204" pitchFamily="34" charset="0"/>
            </a:rPr>
            <a:t>fuels this program. Use this "PNP" message </a:t>
          </a:r>
          <a:r>
            <a:rPr lang="en-US" sz="1200" spc="-10" baseline="0">
              <a:solidFill>
                <a:srgbClr val="003219"/>
              </a:solidFill>
              <a:latin typeface="Arial" panose="020B0604020202020204" pitchFamily="34" charset="0"/>
              <a:cs typeface="Arial" panose="020B0604020202020204" pitchFamily="34" charset="0"/>
            </a:rPr>
            <a:t>template to cultivate mutual regard for each </a:t>
          </a:r>
          <a:r>
            <a:rPr lang="en-US" sz="1200" baseline="0">
              <a:solidFill>
                <a:srgbClr val="003219"/>
              </a:solidFill>
              <a:latin typeface="Arial" panose="020B0604020202020204" pitchFamily="34" charset="0"/>
              <a:cs typeface="Arial" panose="020B0604020202020204" pitchFamily="34" charset="0"/>
            </a:rPr>
            <a:t>other's often overlooked needs.</a:t>
          </a:r>
          <a:endParaRPr lang="en-US" sz="1200">
            <a:solidFill>
              <a:srgbClr val="003219"/>
            </a:solidFill>
            <a:latin typeface="Arial" panose="020B0604020202020204" pitchFamily="34" charset="0"/>
            <a:cs typeface="Arial" panose="020B0604020202020204" pitchFamily="34" charset="0"/>
          </a:endParaRPr>
        </a:p>
      </xdr:txBody>
    </xdr:sp>
    <xdr:clientData/>
  </xdr:twoCellAnchor>
  <xdr:twoCellAnchor>
    <xdr:from>
      <xdr:col>7</xdr:col>
      <xdr:colOff>311150</xdr:colOff>
      <xdr:row>699</xdr:row>
      <xdr:rowOff>908050</xdr:rowOff>
    </xdr:from>
    <xdr:to>
      <xdr:col>12</xdr:col>
      <xdr:colOff>665480</xdr:colOff>
      <xdr:row>702</xdr:row>
      <xdr:rowOff>184150</xdr:rowOff>
    </xdr:to>
    <xdr:sp macro="" textlink="">
      <xdr:nvSpPr>
        <xdr:cNvPr id="46" name="TextBox 45">
          <a:extLst>
            <a:ext uri="{FF2B5EF4-FFF2-40B4-BE49-F238E27FC236}">
              <a16:creationId xmlns:a16="http://schemas.microsoft.com/office/drawing/2014/main" id="{38F3C217-E6DB-69B6-B05D-D147B8F39579}"/>
            </a:ext>
          </a:extLst>
        </xdr:cNvPr>
        <xdr:cNvSpPr txBox="1"/>
      </xdr:nvSpPr>
      <xdr:spPr>
        <a:xfrm>
          <a:off x="3302000" y="252596650"/>
          <a:ext cx="292608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a:solidFill>
                <a:srgbClr val="003219"/>
              </a:solidFill>
              <a:latin typeface="Arial" panose="020B0604020202020204" pitchFamily="34" charset="0"/>
              <a:cs typeface="Arial" panose="020B0604020202020204" pitchFamily="34" charset="0"/>
            </a:rPr>
            <a:t>The more responsive the invitee to the</a:t>
          </a:r>
          <a:r>
            <a:rPr lang="en-US" sz="1200" baseline="0">
              <a:solidFill>
                <a:srgbClr val="003219"/>
              </a:solidFill>
              <a:latin typeface="Arial" panose="020B0604020202020204" pitchFamily="34" charset="0"/>
              <a:cs typeface="Arial" panose="020B0604020202020204" pitchFamily="34" charset="0"/>
            </a:rPr>
            <a:t> first </a:t>
          </a:r>
          <a:r>
            <a:rPr lang="en-US" sz="1200" spc="-30" baseline="0">
              <a:solidFill>
                <a:srgbClr val="003219"/>
              </a:solidFill>
              <a:latin typeface="Arial" panose="020B0604020202020204" pitchFamily="34" charset="0"/>
              <a:cs typeface="Arial" panose="020B0604020202020204" pitchFamily="34" charset="0"/>
            </a:rPr>
            <a:t>three cycles, the better "qualifed" to serve on your support team in your upcoming wellness </a:t>
          </a:r>
          <a:r>
            <a:rPr lang="en-US" sz="1200" baseline="0">
              <a:solidFill>
                <a:srgbClr val="003219"/>
              </a:solidFill>
              <a:latin typeface="Arial" panose="020B0604020202020204" pitchFamily="34" charset="0"/>
              <a:cs typeface="Arial" panose="020B0604020202020204" pitchFamily="34" charset="0"/>
            </a:rPr>
            <a:t>campaign. Use this message template to warmly invite your responsive candidates. </a:t>
          </a:r>
          <a:r>
            <a:rPr lang="en-US" sz="1200" spc="-10" baseline="0">
              <a:solidFill>
                <a:srgbClr val="003219"/>
              </a:solidFill>
              <a:latin typeface="Arial" panose="020B0604020202020204" pitchFamily="34" charset="0"/>
              <a:cs typeface="Arial" panose="020B0604020202020204" pitchFamily="34" charset="0"/>
            </a:rPr>
            <a:t>Show them how their responsive score was </a:t>
          </a:r>
          <a:r>
            <a:rPr lang="en-US" sz="1200" baseline="0">
              <a:solidFill>
                <a:srgbClr val="003219"/>
              </a:solidFill>
              <a:latin typeface="Arial" panose="020B0604020202020204" pitchFamily="34" charset="0"/>
              <a:cs typeface="Arial" panose="020B0604020202020204" pitchFamily="34" charset="0"/>
            </a:rPr>
            <a:t>calculated. Get them more involved.</a:t>
          </a:r>
          <a:endParaRPr lang="en-US" sz="1200">
            <a:solidFill>
              <a:srgbClr val="003219"/>
            </a:solidFill>
            <a:latin typeface="Arial" panose="020B0604020202020204" pitchFamily="34" charset="0"/>
            <a:cs typeface="Arial" panose="020B0604020202020204" pitchFamily="34" charset="0"/>
          </a:endParaRPr>
        </a:p>
      </xdr:txBody>
    </xdr:sp>
    <xdr:clientData/>
  </xdr:twoCellAnchor>
  <xdr:twoCellAnchor>
    <xdr:from>
      <xdr:col>1</xdr:col>
      <xdr:colOff>44450</xdr:colOff>
      <xdr:row>693</xdr:row>
      <xdr:rowOff>133350</xdr:rowOff>
    </xdr:from>
    <xdr:to>
      <xdr:col>12</xdr:col>
      <xdr:colOff>631190</xdr:colOff>
      <xdr:row>694</xdr:row>
      <xdr:rowOff>473710</xdr:rowOff>
    </xdr:to>
    <xdr:sp macro="" textlink="">
      <xdr:nvSpPr>
        <xdr:cNvPr id="48" name="TextBox 47">
          <a:hlinkClick xmlns:r="http://schemas.openxmlformats.org/officeDocument/2006/relationships" r:id="rId23" tooltip="to warmup cycle A"/>
          <a:extLst>
            <a:ext uri="{FF2B5EF4-FFF2-40B4-BE49-F238E27FC236}">
              <a16:creationId xmlns:a16="http://schemas.microsoft.com/office/drawing/2014/main" id="{96D55BA6-84BF-F173-48F8-BE7935FFE099}"/>
            </a:ext>
          </a:extLst>
        </xdr:cNvPr>
        <xdr:cNvSpPr txBox="1"/>
      </xdr:nvSpPr>
      <xdr:spPr>
        <a:xfrm>
          <a:off x="158750" y="247757950"/>
          <a:ext cx="6035040" cy="594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a:latin typeface="Arial" panose="020B0604020202020204" pitchFamily="34" charset="0"/>
              <a:cs typeface="Arial" panose="020B0604020202020204" pitchFamily="34" charset="0"/>
            </a:rPr>
            <a:t>You can draft your own messages to keep yourself engaged with each contacted invitee. Or you can make it easier on yourself by using these message templates. Each</a:t>
          </a:r>
          <a:r>
            <a:rPr lang="en-US" sz="1200" baseline="0">
              <a:latin typeface="Arial" panose="020B0604020202020204" pitchFamily="34" charset="0"/>
              <a:cs typeface="Arial" panose="020B0604020202020204" pitchFamily="34" charset="0"/>
            </a:rPr>
            <a:t> follows one of the </a:t>
          </a:r>
          <a:r>
            <a:rPr lang="en-US" sz="1200" b="1" baseline="0">
              <a:solidFill>
                <a:srgbClr val="461E64"/>
              </a:solidFill>
              <a:latin typeface="Arial" panose="020B0604020202020204" pitchFamily="34" charset="0"/>
              <a:cs typeface="Arial" panose="020B0604020202020204" pitchFamily="34" charset="0"/>
            </a:rPr>
            <a:t>warmup cycles </a:t>
          </a:r>
          <a:r>
            <a:rPr lang="en-US" sz="1200" baseline="0">
              <a:latin typeface="Arial" panose="020B0604020202020204" pitchFamily="34" charset="0"/>
              <a:cs typeface="Arial" panose="020B0604020202020204" pitchFamily="34" charset="0"/>
            </a:rPr>
            <a:t>above, A through D.</a:t>
          </a:r>
          <a:endParaRPr lang="en-US" sz="1200">
            <a:latin typeface="Arial" panose="020B0604020202020204" pitchFamily="34" charset="0"/>
            <a:cs typeface="Arial" panose="020B0604020202020204" pitchFamily="34" charset="0"/>
          </a:endParaRPr>
        </a:p>
      </xdr:txBody>
    </xdr:sp>
    <xdr:clientData/>
  </xdr:twoCellAnchor>
  <xdr:twoCellAnchor>
    <xdr:from>
      <xdr:col>1</xdr:col>
      <xdr:colOff>6350</xdr:colOff>
      <xdr:row>141</xdr:row>
      <xdr:rowOff>196850</xdr:rowOff>
    </xdr:from>
    <xdr:to>
      <xdr:col>13</xdr:col>
      <xdr:colOff>6350</xdr:colOff>
      <xdr:row>142</xdr:row>
      <xdr:rowOff>127000</xdr:rowOff>
    </xdr:to>
    <xdr:sp macro="" textlink="">
      <xdr:nvSpPr>
        <xdr:cNvPr id="58" name="go to Message Templates (large)" hidden="1">
          <a:extLst>
            <a:ext uri="{FF2B5EF4-FFF2-40B4-BE49-F238E27FC236}">
              <a16:creationId xmlns:a16="http://schemas.microsoft.com/office/drawing/2014/main" id="{30F921A2-2246-ABD5-AD5F-D14F5C564120}"/>
            </a:ext>
          </a:extLst>
        </xdr:cNvPr>
        <xdr:cNvSpPr/>
      </xdr:nvSpPr>
      <xdr:spPr>
        <a:xfrm>
          <a:off x="120650" y="49955450"/>
          <a:ext cx="6172200" cy="374650"/>
        </a:xfrm>
        <a:prstGeom prst="bevel">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go to Message Templates</a:t>
          </a:r>
        </a:p>
      </xdr:txBody>
    </xdr:sp>
    <xdr:clientData/>
  </xdr:twoCellAnchor>
  <xdr:twoCellAnchor>
    <xdr:from>
      <xdr:col>10</xdr:col>
      <xdr:colOff>12700</xdr:colOff>
      <xdr:row>139</xdr:row>
      <xdr:rowOff>12700</xdr:rowOff>
    </xdr:from>
    <xdr:to>
      <xdr:col>14</xdr:col>
      <xdr:colOff>431800</xdr:colOff>
      <xdr:row>140</xdr:row>
      <xdr:rowOff>33020</xdr:rowOff>
    </xdr:to>
    <xdr:sp macro="" textlink="">
      <xdr:nvSpPr>
        <xdr:cNvPr id="59" name="go to Message Templates (small)" hidden="1">
          <a:extLst>
            <a:ext uri="{FF2B5EF4-FFF2-40B4-BE49-F238E27FC236}">
              <a16:creationId xmlns:a16="http://schemas.microsoft.com/office/drawing/2014/main" id="{521C97B2-23D1-01C7-9E96-DB7392EAFED6}"/>
            </a:ext>
          </a:extLst>
        </xdr:cNvPr>
        <xdr:cNvSpPr/>
      </xdr:nvSpPr>
      <xdr:spPr>
        <a:xfrm>
          <a:off x="4546600" y="49390300"/>
          <a:ext cx="2286000" cy="274320"/>
        </a:xfrm>
        <a:prstGeom prst="bevel">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200" b="1">
              <a:latin typeface="Tahoma" panose="020B0604030504040204" pitchFamily="34" charset="0"/>
              <a:ea typeface="Tahoma" panose="020B0604030504040204" pitchFamily="34" charset="0"/>
              <a:cs typeface="Tahoma" panose="020B0604030504040204" pitchFamily="34" charset="0"/>
            </a:rPr>
            <a:t>go to Message Templates</a:t>
          </a:r>
        </a:p>
      </xdr:txBody>
    </xdr:sp>
    <xdr:clientData/>
  </xdr:twoCellAnchor>
  <xdr:twoCellAnchor>
    <xdr:from>
      <xdr:col>9</xdr:col>
      <xdr:colOff>234950</xdr:colOff>
      <xdr:row>143</xdr:row>
      <xdr:rowOff>0</xdr:rowOff>
    </xdr:from>
    <xdr:to>
      <xdr:col>11</xdr:col>
      <xdr:colOff>120650</xdr:colOff>
      <xdr:row>143</xdr:row>
      <xdr:rowOff>365760</xdr:rowOff>
    </xdr:to>
    <xdr:sp macro="" textlink="">
      <xdr:nvSpPr>
        <xdr:cNvPr id="60" name="go to Message Templates (01)">
          <a:hlinkClick xmlns:r="http://schemas.openxmlformats.org/officeDocument/2006/relationships" r:id="rId24" tooltip="to Message Templates"/>
          <a:extLst>
            <a:ext uri="{FF2B5EF4-FFF2-40B4-BE49-F238E27FC236}">
              <a16:creationId xmlns:a16="http://schemas.microsoft.com/office/drawing/2014/main" id="{EEB6B566-B1A7-5DDE-B5D0-CEEDED8CB39E}"/>
            </a:ext>
          </a:extLst>
        </xdr:cNvPr>
        <xdr:cNvSpPr/>
      </xdr:nvSpPr>
      <xdr:spPr>
        <a:xfrm>
          <a:off x="4254500" y="50457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171450</xdr:colOff>
      <xdr:row>167</xdr:row>
      <xdr:rowOff>0</xdr:rowOff>
    </xdr:from>
    <xdr:to>
      <xdr:col>11</xdr:col>
      <xdr:colOff>57150</xdr:colOff>
      <xdr:row>167</xdr:row>
      <xdr:rowOff>365760</xdr:rowOff>
    </xdr:to>
    <xdr:sp macro="" textlink="">
      <xdr:nvSpPr>
        <xdr:cNvPr id="61" name="go to Message Templates (02)">
          <a:hlinkClick xmlns:r="http://schemas.openxmlformats.org/officeDocument/2006/relationships" r:id="rId24" tooltip="to Message Templates"/>
          <a:extLst>
            <a:ext uri="{FF2B5EF4-FFF2-40B4-BE49-F238E27FC236}">
              <a16:creationId xmlns:a16="http://schemas.microsoft.com/office/drawing/2014/main" id="{20C7CB08-79F4-45B2-B457-32E13CAC44BC}"/>
            </a:ext>
          </a:extLst>
        </xdr:cNvPr>
        <xdr:cNvSpPr/>
      </xdr:nvSpPr>
      <xdr:spPr>
        <a:xfrm>
          <a:off x="4191000" y="58966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191</xdr:row>
      <xdr:rowOff>0</xdr:rowOff>
    </xdr:from>
    <xdr:to>
      <xdr:col>11</xdr:col>
      <xdr:colOff>114300</xdr:colOff>
      <xdr:row>191</xdr:row>
      <xdr:rowOff>365760</xdr:rowOff>
    </xdr:to>
    <xdr:sp macro="" textlink="">
      <xdr:nvSpPr>
        <xdr:cNvPr id="62" name="go to Message Templates (03)">
          <a:hlinkClick xmlns:r="http://schemas.openxmlformats.org/officeDocument/2006/relationships" r:id="rId24" tooltip="to Message Templates"/>
          <a:extLst>
            <a:ext uri="{FF2B5EF4-FFF2-40B4-BE49-F238E27FC236}">
              <a16:creationId xmlns:a16="http://schemas.microsoft.com/office/drawing/2014/main" id="{AF46070F-4A41-4C41-81A7-44F181A7A488}"/>
            </a:ext>
          </a:extLst>
        </xdr:cNvPr>
        <xdr:cNvSpPr/>
      </xdr:nvSpPr>
      <xdr:spPr>
        <a:xfrm>
          <a:off x="4248150" y="67475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215</xdr:row>
      <xdr:rowOff>0</xdr:rowOff>
    </xdr:from>
    <xdr:to>
      <xdr:col>11</xdr:col>
      <xdr:colOff>114300</xdr:colOff>
      <xdr:row>215</xdr:row>
      <xdr:rowOff>365760</xdr:rowOff>
    </xdr:to>
    <xdr:sp macro="" textlink="">
      <xdr:nvSpPr>
        <xdr:cNvPr id="63" name="go to Message Templates (04)">
          <a:hlinkClick xmlns:r="http://schemas.openxmlformats.org/officeDocument/2006/relationships" r:id="rId24" tooltip="to Message Templates"/>
          <a:extLst>
            <a:ext uri="{FF2B5EF4-FFF2-40B4-BE49-F238E27FC236}">
              <a16:creationId xmlns:a16="http://schemas.microsoft.com/office/drawing/2014/main" id="{6881FAF4-DDD4-481A-B6AC-7DBEB3E1FFCA}"/>
            </a:ext>
          </a:extLst>
        </xdr:cNvPr>
        <xdr:cNvSpPr/>
      </xdr:nvSpPr>
      <xdr:spPr>
        <a:xfrm>
          <a:off x="4248150" y="75984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239</xdr:row>
      <xdr:rowOff>0</xdr:rowOff>
    </xdr:from>
    <xdr:to>
      <xdr:col>11</xdr:col>
      <xdr:colOff>114300</xdr:colOff>
      <xdr:row>239</xdr:row>
      <xdr:rowOff>365760</xdr:rowOff>
    </xdr:to>
    <xdr:sp macro="" textlink="">
      <xdr:nvSpPr>
        <xdr:cNvPr id="1024" name="go to Message Templates (05)">
          <a:hlinkClick xmlns:r="http://schemas.openxmlformats.org/officeDocument/2006/relationships" r:id="rId24" tooltip="to Message Templates"/>
          <a:extLst>
            <a:ext uri="{FF2B5EF4-FFF2-40B4-BE49-F238E27FC236}">
              <a16:creationId xmlns:a16="http://schemas.microsoft.com/office/drawing/2014/main" id="{3CE3598F-1A13-446C-8EC1-DF3666A96F5D}"/>
            </a:ext>
          </a:extLst>
        </xdr:cNvPr>
        <xdr:cNvSpPr/>
      </xdr:nvSpPr>
      <xdr:spPr>
        <a:xfrm>
          <a:off x="4248150" y="84493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222250</xdr:colOff>
      <xdr:row>263</xdr:row>
      <xdr:rowOff>0</xdr:rowOff>
    </xdr:from>
    <xdr:to>
      <xdr:col>11</xdr:col>
      <xdr:colOff>107950</xdr:colOff>
      <xdr:row>263</xdr:row>
      <xdr:rowOff>365760</xdr:rowOff>
    </xdr:to>
    <xdr:sp macro="" textlink="">
      <xdr:nvSpPr>
        <xdr:cNvPr id="1025" name="go to Message Templates (06)">
          <a:hlinkClick xmlns:r="http://schemas.openxmlformats.org/officeDocument/2006/relationships" r:id="rId24" tooltip="to Message Templates"/>
          <a:extLst>
            <a:ext uri="{FF2B5EF4-FFF2-40B4-BE49-F238E27FC236}">
              <a16:creationId xmlns:a16="http://schemas.microsoft.com/office/drawing/2014/main" id="{C509AA3D-317C-4D29-8B0D-8C997038AAB9}"/>
            </a:ext>
          </a:extLst>
        </xdr:cNvPr>
        <xdr:cNvSpPr/>
      </xdr:nvSpPr>
      <xdr:spPr>
        <a:xfrm>
          <a:off x="4241800" y="93002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254000</xdr:colOff>
      <xdr:row>287</xdr:row>
      <xdr:rowOff>0</xdr:rowOff>
    </xdr:from>
    <xdr:to>
      <xdr:col>11</xdr:col>
      <xdr:colOff>139700</xdr:colOff>
      <xdr:row>287</xdr:row>
      <xdr:rowOff>365760</xdr:rowOff>
    </xdr:to>
    <xdr:sp macro="" textlink="">
      <xdr:nvSpPr>
        <xdr:cNvPr id="1026" name="go to Message Templates (07)">
          <a:hlinkClick xmlns:r="http://schemas.openxmlformats.org/officeDocument/2006/relationships" r:id="rId24" tooltip="to Message Templates"/>
          <a:extLst>
            <a:ext uri="{FF2B5EF4-FFF2-40B4-BE49-F238E27FC236}">
              <a16:creationId xmlns:a16="http://schemas.microsoft.com/office/drawing/2014/main" id="{CCB22206-60D7-4047-99B8-7FE750F0B430}"/>
            </a:ext>
          </a:extLst>
        </xdr:cNvPr>
        <xdr:cNvSpPr/>
      </xdr:nvSpPr>
      <xdr:spPr>
        <a:xfrm>
          <a:off x="4273550" y="101511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241300</xdr:colOff>
      <xdr:row>311</xdr:row>
      <xdr:rowOff>0</xdr:rowOff>
    </xdr:from>
    <xdr:to>
      <xdr:col>11</xdr:col>
      <xdr:colOff>127000</xdr:colOff>
      <xdr:row>311</xdr:row>
      <xdr:rowOff>365760</xdr:rowOff>
    </xdr:to>
    <xdr:sp macro="" textlink="">
      <xdr:nvSpPr>
        <xdr:cNvPr id="1027" name="go to Message Templates (08)">
          <a:hlinkClick xmlns:r="http://schemas.openxmlformats.org/officeDocument/2006/relationships" r:id="rId24" tooltip="to Message Templates"/>
          <a:extLst>
            <a:ext uri="{FF2B5EF4-FFF2-40B4-BE49-F238E27FC236}">
              <a16:creationId xmlns:a16="http://schemas.microsoft.com/office/drawing/2014/main" id="{0401560C-E3E1-40CC-9937-786600D28022}"/>
            </a:ext>
          </a:extLst>
        </xdr:cNvPr>
        <xdr:cNvSpPr/>
      </xdr:nvSpPr>
      <xdr:spPr>
        <a:xfrm>
          <a:off x="4260850" y="110020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234950</xdr:colOff>
      <xdr:row>335</xdr:row>
      <xdr:rowOff>0</xdr:rowOff>
    </xdr:from>
    <xdr:to>
      <xdr:col>11</xdr:col>
      <xdr:colOff>120650</xdr:colOff>
      <xdr:row>335</xdr:row>
      <xdr:rowOff>365760</xdr:rowOff>
    </xdr:to>
    <xdr:sp macro="" textlink="">
      <xdr:nvSpPr>
        <xdr:cNvPr id="1028" name="go to Message Templates (09)">
          <a:hlinkClick xmlns:r="http://schemas.openxmlformats.org/officeDocument/2006/relationships" r:id="rId24" tooltip="to Message Templates"/>
          <a:extLst>
            <a:ext uri="{FF2B5EF4-FFF2-40B4-BE49-F238E27FC236}">
              <a16:creationId xmlns:a16="http://schemas.microsoft.com/office/drawing/2014/main" id="{D9B7A7F7-97B1-440E-A67D-9838C1A17FBA}"/>
            </a:ext>
          </a:extLst>
        </xdr:cNvPr>
        <xdr:cNvSpPr/>
      </xdr:nvSpPr>
      <xdr:spPr>
        <a:xfrm>
          <a:off x="4254500" y="118529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241300</xdr:colOff>
      <xdr:row>359</xdr:row>
      <xdr:rowOff>0</xdr:rowOff>
    </xdr:from>
    <xdr:to>
      <xdr:col>11</xdr:col>
      <xdr:colOff>127000</xdr:colOff>
      <xdr:row>359</xdr:row>
      <xdr:rowOff>365760</xdr:rowOff>
    </xdr:to>
    <xdr:sp macro="" textlink="">
      <xdr:nvSpPr>
        <xdr:cNvPr id="1029" name="go to Message Templates (10)">
          <a:hlinkClick xmlns:r="http://schemas.openxmlformats.org/officeDocument/2006/relationships" r:id="rId24" tooltip="to Message Templates"/>
          <a:extLst>
            <a:ext uri="{FF2B5EF4-FFF2-40B4-BE49-F238E27FC236}">
              <a16:creationId xmlns:a16="http://schemas.microsoft.com/office/drawing/2014/main" id="{FAA7DCD6-6907-48E3-9D23-001689C6943B}"/>
            </a:ext>
          </a:extLst>
        </xdr:cNvPr>
        <xdr:cNvSpPr/>
      </xdr:nvSpPr>
      <xdr:spPr>
        <a:xfrm>
          <a:off x="4260850" y="127038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383</xdr:row>
      <xdr:rowOff>0</xdr:rowOff>
    </xdr:from>
    <xdr:to>
      <xdr:col>11</xdr:col>
      <xdr:colOff>114300</xdr:colOff>
      <xdr:row>383</xdr:row>
      <xdr:rowOff>365760</xdr:rowOff>
    </xdr:to>
    <xdr:sp macro="" textlink="">
      <xdr:nvSpPr>
        <xdr:cNvPr id="1030" name="go to Message Templates (11)">
          <a:hlinkClick xmlns:r="http://schemas.openxmlformats.org/officeDocument/2006/relationships" r:id="rId24" tooltip="to Message Templates"/>
          <a:extLst>
            <a:ext uri="{FF2B5EF4-FFF2-40B4-BE49-F238E27FC236}">
              <a16:creationId xmlns:a16="http://schemas.microsoft.com/office/drawing/2014/main" id="{65FA57D6-8D85-42A8-AFDD-6F1339906B57}"/>
            </a:ext>
          </a:extLst>
        </xdr:cNvPr>
        <xdr:cNvSpPr/>
      </xdr:nvSpPr>
      <xdr:spPr>
        <a:xfrm>
          <a:off x="4248150" y="135547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241300</xdr:colOff>
      <xdr:row>407</xdr:row>
      <xdr:rowOff>0</xdr:rowOff>
    </xdr:from>
    <xdr:to>
      <xdr:col>11</xdr:col>
      <xdr:colOff>127000</xdr:colOff>
      <xdr:row>407</xdr:row>
      <xdr:rowOff>365760</xdr:rowOff>
    </xdr:to>
    <xdr:sp macro="" textlink="">
      <xdr:nvSpPr>
        <xdr:cNvPr id="1031" name="go to Message Templates (12)">
          <a:hlinkClick xmlns:r="http://schemas.openxmlformats.org/officeDocument/2006/relationships" r:id="rId24" tooltip="to Message Templates"/>
          <a:extLst>
            <a:ext uri="{FF2B5EF4-FFF2-40B4-BE49-F238E27FC236}">
              <a16:creationId xmlns:a16="http://schemas.microsoft.com/office/drawing/2014/main" id="{4C42F422-BC30-4C08-90A7-1910C886FB14}"/>
            </a:ext>
          </a:extLst>
        </xdr:cNvPr>
        <xdr:cNvSpPr/>
      </xdr:nvSpPr>
      <xdr:spPr>
        <a:xfrm>
          <a:off x="4260850" y="144056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431</xdr:row>
      <xdr:rowOff>0</xdr:rowOff>
    </xdr:from>
    <xdr:to>
      <xdr:col>11</xdr:col>
      <xdr:colOff>114300</xdr:colOff>
      <xdr:row>431</xdr:row>
      <xdr:rowOff>365760</xdr:rowOff>
    </xdr:to>
    <xdr:sp macro="" textlink="">
      <xdr:nvSpPr>
        <xdr:cNvPr id="1036" name="go to Message Templates (13)">
          <a:hlinkClick xmlns:r="http://schemas.openxmlformats.org/officeDocument/2006/relationships" r:id="rId24" tooltip="to Message Templates"/>
          <a:extLst>
            <a:ext uri="{FF2B5EF4-FFF2-40B4-BE49-F238E27FC236}">
              <a16:creationId xmlns:a16="http://schemas.microsoft.com/office/drawing/2014/main" id="{DBB11FB0-4D4F-49EA-8CFD-709AC6C73B97}"/>
            </a:ext>
          </a:extLst>
        </xdr:cNvPr>
        <xdr:cNvSpPr/>
      </xdr:nvSpPr>
      <xdr:spPr>
        <a:xfrm>
          <a:off x="4248150" y="152565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234950</xdr:colOff>
      <xdr:row>455</xdr:row>
      <xdr:rowOff>0</xdr:rowOff>
    </xdr:from>
    <xdr:to>
      <xdr:col>11</xdr:col>
      <xdr:colOff>120650</xdr:colOff>
      <xdr:row>455</xdr:row>
      <xdr:rowOff>365760</xdr:rowOff>
    </xdr:to>
    <xdr:sp macro="" textlink="">
      <xdr:nvSpPr>
        <xdr:cNvPr id="1037" name="go to Message Templates (14)">
          <a:hlinkClick xmlns:r="http://schemas.openxmlformats.org/officeDocument/2006/relationships" r:id="rId24" tooltip="to Message Templates"/>
          <a:extLst>
            <a:ext uri="{FF2B5EF4-FFF2-40B4-BE49-F238E27FC236}">
              <a16:creationId xmlns:a16="http://schemas.microsoft.com/office/drawing/2014/main" id="{5B956E50-FAD9-4D75-A398-3A0759C0E4CC}"/>
            </a:ext>
          </a:extLst>
        </xdr:cNvPr>
        <xdr:cNvSpPr/>
      </xdr:nvSpPr>
      <xdr:spPr>
        <a:xfrm>
          <a:off x="4254500" y="161074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479</xdr:row>
      <xdr:rowOff>0</xdr:rowOff>
    </xdr:from>
    <xdr:to>
      <xdr:col>11</xdr:col>
      <xdr:colOff>114300</xdr:colOff>
      <xdr:row>479</xdr:row>
      <xdr:rowOff>365760</xdr:rowOff>
    </xdr:to>
    <xdr:sp macro="" textlink="">
      <xdr:nvSpPr>
        <xdr:cNvPr id="1038" name="go to Message Templates (15)">
          <a:hlinkClick xmlns:r="http://schemas.openxmlformats.org/officeDocument/2006/relationships" r:id="rId24" tooltip="to Message Templates"/>
          <a:extLst>
            <a:ext uri="{FF2B5EF4-FFF2-40B4-BE49-F238E27FC236}">
              <a16:creationId xmlns:a16="http://schemas.microsoft.com/office/drawing/2014/main" id="{D0163777-50F1-4C2F-8FD2-16A58DB42F7E}"/>
            </a:ext>
          </a:extLst>
        </xdr:cNvPr>
        <xdr:cNvSpPr/>
      </xdr:nvSpPr>
      <xdr:spPr>
        <a:xfrm>
          <a:off x="4248150" y="169583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234950</xdr:colOff>
      <xdr:row>503</xdr:row>
      <xdr:rowOff>0</xdr:rowOff>
    </xdr:from>
    <xdr:to>
      <xdr:col>11</xdr:col>
      <xdr:colOff>120650</xdr:colOff>
      <xdr:row>503</xdr:row>
      <xdr:rowOff>365760</xdr:rowOff>
    </xdr:to>
    <xdr:sp macro="" textlink="">
      <xdr:nvSpPr>
        <xdr:cNvPr id="1039" name="go to Message Templates (16)">
          <a:hlinkClick xmlns:r="http://schemas.openxmlformats.org/officeDocument/2006/relationships" r:id="rId24" tooltip="to Message Templates"/>
          <a:extLst>
            <a:ext uri="{FF2B5EF4-FFF2-40B4-BE49-F238E27FC236}">
              <a16:creationId xmlns:a16="http://schemas.microsoft.com/office/drawing/2014/main" id="{5861DB64-41C0-4633-AB23-ED4EB1E949FE}"/>
            </a:ext>
          </a:extLst>
        </xdr:cNvPr>
        <xdr:cNvSpPr/>
      </xdr:nvSpPr>
      <xdr:spPr>
        <a:xfrm>
          <a:off x="4254500" y="178092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234950</xdr:colOff>
      <xdr:row>527</xdr:row>
      <xdr:rowOff>0</xdr:rowOff>
    </xdr:from>
    <xdr:to>
      <xdr:col>11</xdr:col>
      <xdr:colOff>120650</xdr:colOff>
      <xdr:row>527</xdr:row>
      <xdr:rowOff>365760</xdr:rowOff>
    </xdr:to>
    <xdr:sp macro="" textlink="">
      <xdr:nvSpPr>
        <xdr:cNvPr id="1040" name="go to Message Templates (17)">
          <a:hlinkClick xmlns:r="http://schemas.openxmlformats.org/officeDocument/2006/relationships" r:id="rId24" tooltip="to Message Templates"/>
          <a:extLst>
            <a:ext uri="{FF2B5EF4-FFF2-40B4-BE49-F238E27FC236}">
              <a16:creationId xmlns:a16="http://schemas.microsoft.com/office/drawing/2014/main" id="{EA9D5CEE-C940-4AA7-AEDA-02D854428767}"/>
            </a:ext>
          </a:extLst>
        </xdr:cNvPr>
        <xdr:cNvSpPr/>
      </xdr:nvSpPr>
      <xdr:spPr>
        <a:xfrm>
          <a:off x="4254500" y="186601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241300</xdr:colOff>
      <xdr:row>551</xdr:row>
      <xdr:rowOff>0</xdr:rowOff>
    </xdr:from>
    <xdr:to>
      <xdr:col>11</xdr:col>
      <xdr:colOff>127000</xdr:colOff>
      <xdr:row>551</xdr:row>
      <xdr:rowOff>365760</xdr:rowOff>
    </xdr:to>
    <xdr:sp macro="" textlink="">
      <xdr:nvSpPr>
        <xdr:cNvPr id="1041" name="go to Message Templates (18)">
          <a:hlinkClick xmlns:r="http://schemas.openxmlformats.org/officeDocument/2006/relationships" r:id="rId24" tooltip="to Message Templates"/>
          <a:extLst>
            <a:ext uri="{FF2B5EF4-FFF2-40B4-BE49-F238E27FC236}">
              <a16:creationId xmlns:a16="http://schemas.microsoft.com/office/drawing/2014/main" id="{26052356-B33A-4B34-8DE4-C91E6578DB59}"/>
            </a:ext>
          </a:extLst>
        </xdr:cNvPr>
        <xdr:cNvSpPr/>
      </xdr:nvSpPr>
      <xdr:spPr>
        <a:xfrm>
          <a:off x="4260850" y="195110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228600</xdr:colOff>
      <xdr:row>575</xdr:row>
      <xdr:rowOff>0</xdr:rowOff>
    </xdr:from>
    <xdr:to>
      <xdr:col>11</xdr:col>
      <xdr:colOff>114300</xdr:colOff>
      <xdr:row>575</xdr:row>
      <xdr:rowOff>365760</xdr:rowOff>
    </xdr:to>
    <xdr:sp macro="" textlink="">
      <xdr:nvSpPr>
        <xdr:cNvPr id="1042" name="go to Message Templates (19)">
          <a:hlinkClick xmlns:r="http://schemas.openxmlformats.org/officeDocument/2006/relationships" r:id="rId24" tooltip="to Message Templates"/>
          <a:extLst>
            <a:ext uri="{FF2B5EF4-FFF2-40B4-BE49-F238E27FC236}">
              <a16:creationId xmlns:a16="http://schemas.microsoft.com/office/drawing/2014/main" id="{5D862409-47AB-4259-B942-1AF5483A899F}"/>
            </a:ext>
          </a:extLst>
        </xdr:cNvPr>
        <xdr:cNvSpPr/>
      </xdr:nvSpPr>
      <xdr:spPr>
        <a:xfrm>
          <a:off x="4248150" y="203619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9</xdr:col>
      <xdr:colOff>241300</xdr:colOff>
      <xdr:row>599</xdr:row>
      <xdr:rowOff>0</xdr:rowOff>
    </xdr:from>
    <xdr:to>
      <xdr:col>11</xdr:col>
      <xdr:colOff>127000</xdr:colOff>
      <xdr:row>599</xdr:row>
      <xdr:rowOff>365760</xdr:rowOff>
    </xdr:to>
    <xdr:sp macro="" textlink="">
      <xdr:nvSpPr>
        <xdr:cNvPr id="1043" name="go to Message Templates (20)">
          <a:hlinkClick xmlns:r="http://schemas.openxmlformats.org/officeDocument/2006/relationships" r:id="rId24" tooltip="to Message Templates"/>
          <a:extLst>
            <a:ext uri="{FF2B5EF4-FFF2-40B4-BE49-F238E27FC236}">
              <a16:creationId xmlns:a16="http://schemas.microsoft.com/office/drawing/2014/main" id="{ED6D0C39-E7CA-4E0B-B15E-F870527FBA7F}"/>
            </a:ext>
          </a:extLst>
        </xdr:cNvPr>
        <xdr:cNvSpPr/>
      </xdr:nvSpPr>
      <xdr:spPr>
        <a:xfrm>
          <a:off x="4260850" y="212128100"/>
          <a:ext cx="914400" cy="365760"/>
        </a:xfrm>
        <a:prstGeom prst="bevel">
          <a:avLst>
            <a:gd name="adj" fmla="val 4515"/>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050" b="1">
              <a:latin typeface="Tahoma" panose="020B0604030504040204" pitchFamily="34" charset="0"/>
              <a:ea typeface="Tahoma" panose="020B0604030504040204" pitchFamily="34" charset="0"/>
              <a:cs typeface="Tahoma" panose="020B0604030504040204" pitchFamily="34" charset="0"/>
            </a:rPr>
            <a:t>Message Templates</a:t>
          </a:r>
        </a:p>
      </xdr:txBody>
    </xdr:sp>
    <xdr:clientData/>
  </xdr:twoCellAnchor>
  <xdr:twoCellAnchor>
    <xdr:from>
      <xdr:col>10</xdr:col>
      <xdr:colOff>374650</xdr:colOff>
      <xdr:row>689</xdr:row>
      <xdr:rowOff>38100</xdr:rowOff>
    </xdr:from>
    <xdr:to>
      <xdr:col>12</xdr:col>
      <xdr:colOff>717550</xdr:colOff>
      <xdr:row>689</xdr:row>
      <xdr:rowOff>403860</xdr:rowOff>
    </xdr:to>
    <xdr:sp macro="" textlink="">
      <xdr:nvSpPr>
        <xdr:cNvPr id="1044" name="Invitee List button">
          <a:hlinkClick xmlns:r="http://schemas.openxmlformats.org/officeDocument/2006/relationships" r:id="rId25" tooltip="to Invitee List"/>
          <a:extLst>
            <a:ext uri="{FF2B5EF4-FFF2-40B4-BE49-F238E27FC236}">
              <a16:creationId xmlns:a16="http://schemas.microsoft.com/office/drawing/2014/main" id="{E9951E53-D712-4334-B4A4-9E51C926F935}"/>
            </a:ext>
          </a:extLst>
        </xdr:cNvPr>
        <xdr:cNvSpPr/>
      </xdr:nvSpPr>
      <xdr:spPr>
        <a:xfrm>
          <a:off x="4908550" y="246646700"/>
          <a:ext cx="1371600" cy="365760"/>
        </a:xfrm>
        <a:prstGeom prst="bevel">
          <a:avLst>
            <a:gd name="adj" fmla="val 9723"/>
          </a:avLst>
        </a:prstGeom>
        <a:gradFill>
          <a:gsLst>
            <a:gs pos="0">
              <a:srgbClr val="00B050"/>
            </a:gs>
            <a:gs pos="50000">
              <a:srgbClr val="006432"/>
            </a:gs>
            <a:gs pos="100000">
              <a:srgbClr val="004221"/>
            </a:gs>
          </a:gsLst>
        </a:gradFill>
        <a:ln>
          <a:solidFill>
            <a:srgbClr val="006432"/>
          </a:solidFill>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algn="ctr"/>
          <a:r>
            <a:rPr lang="en-US" sz="1600" b="1">
              <a:latin typeface="Tahoma" panose="020B0604030504040204" pitchFamily="34" charset="0"/>
              <a:ea typeface="Tahoma" panose="020B0604030504040204" pitchFamily="34" charset="0"/>
              <a:cs typeface="Tahoma" panose="020B0604030504040204" pitchFamily="34" charset="0"/>
            </a:rPr>
            <a:t>Invitee List</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13</xdr:col>
      <xdr:colOff>18626</xdr:colOff>
      <xdr:row>1</xdr:row>
      <xdr:rowOff>0</xdr:rowOff>
    </xdr:from>
    <xdr:ext cx="6564378" cy="3362551"/>
    <xdr:pic>
      <xdr:nvPicPr>
        <xdr:cNvPr id="2" name="value frame PNP" hidden="1">
          <a:extLst>
            <a:ext uri="{FF2B5EF4-FFF2-40B4-BE49-F238E27FC236}">
              <a16:creationId xmlns:a16="http://schemas.microsoft.com/office/drawing/2014/main" id="{B794CEC3-C18D-474A-8619-8A296E546C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3" name="Picture 2" hidden="1">
          <a:extLst>
            <a:ext uri="{FF2B5EF4-FFF2-40B4-BE49-F238E27FC236}">
              <a16:creationId xmlns:a16="http://schemas.microsoft.com/office/drawing/2014/main" id="{673CC7EC-8E10-41F0-B29E-1935886FBAA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31</xdr:col>
      <xdr:colOff>426720</xdr:colOff>
      <xdr:row>336</xdr:row>
      <xdr:rowOff>0</xdr:rowOff>
    </xdr:from>
    <xdr:ext cx="873812" cy="867410"/>
    <xdr:pic>
      <xdr:nvPicPr>
        <xdr:cNvPr id="4" name="thumbs down, light red" hidden="1">
          <a:extLst>
            <a:ext uri="{FF2B5EF4-FFF2-40B4-BE49-F238E27FC236}">
              <a16:creationId xmlns:a16="http://schemas.microsoft.com/office/drawing/2014/main" id="{EAE1D27D-576E-46D0-B8F9-A74B2F3EAA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7270" y="59817000"/>
          <a:ext cx="873812" cy="867410"/>
        </a:xfrm>
        <a:prstGeom prst="rect">
          <a:avLst/>
        </a:prstGeom>
      </xdr:spPr>
    </xdr:pic>
    <xdr:clientData/>
  </xdr:oneCellAnchor>
  <xdr:oneCellAnchor>
    <xdr:from>
      <xdr:col>24</xdr:col>
      <xdr:colOff>231420</xdr:colOff>
      <xdr:row>1</xdr:row>
      <xdr:rowOff>0</xdr:rowOff>
    </xdr:from>
    <xdr:ext cx="871272" cy="927100"/>
    <xdr:pic>
      <xdr:nvPicPr>
        <xdr:cNvPr id="5" name="thumbs up, light green" hidden="1">
          <a:extLst>
            <a:ext uri="{FF2B5EF4-FFF2-40B4-BE49-F238E27FC236}">
              <a16:creationId xmlns:a16="http://schemas.microsoft.com/office/drawing/2014/main" id="{B52B3211-33C3-4E4E-9D0B-5448B52849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6" name="Picture 5" hidden="1">
          <a:extLst>
            <a:ext uri="{FF2B5EF4-FFF2-40B4-BE49-F238E27FC236}">
              <a16:creationId xmlns:a16="http://schemas.microsoft.com/office/drawing/2014/main" id="{58F90521-B7D5-4E72-9B6B-95FF73FA7DA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oneCellAnchor>
    <xdr:from>
      <xdr:col>13</xdr:col>
      <xdr:colOff>18626</xdr:colOff>
      <xdr:row>30</xdr:row>
      <xdr:rowOff>0</xdr:rowOff>
    </xdr:from>
    <xdr:ext cx="6450078" cy="3417161"/>
    <xdr:pic>
      <xdr:nvPicPr>
        <xdr:cNvPr id="7" name="value frame PNP" hidden="1">
          <a:extLst>
            <a:ext uri="{FF2B5EF4-FFF2-40B4-BE49-F238E27FC236}">
              <a16:creationId xmlns:a16="http://schemas.microsoft.com/office/drawing/2014/main" id="{740089EE-012A-4C87-83BC-059281C05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9334500"/>
          <a:ext cx="6450078" cy="3417161"/>
        </a:xfrm>
        <a:prstGeom prst="rect">
          <a:avLst/>
        </a:prstGeom>
      </xdr:spPr>
    </xdr:pic>
    <xdr:clientData/>
  </xdr:oneCellAnchor>
  <xdr:oneCellAnchor>
    <xdr:from>
      <xdr:col>0</xdr:col>
      <xdr:colOff>110067</xdr:colOff>
      <xdr:row>30</xdr:row>
      <xdr:rowOff>0</xdr:rowOff>
    </xdr:from>
    <xdr:ext cx="6055204" cy="1548516"/>
    <xdr:pic>
      <xdr:nvPicPr>
        <xdr:cNvPr id="8" name="Picture 7" hidden="1">
          <a:extLst>
            <a:ext uri="{FF2B5EF4-FFF2-40B4-BE49-F238E27FC236}">
              <a16:creationId xmlns:a16="http://schemas.microsoft.com/office/drawing/2014/main" id="{371337C7-6632-41E5-AF8F-23D2F9AD7D7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9334500"/>
          <a:ext cx="6055204" cy="1548516"/>
        </a:xfrm>
        <a:prstGeom prst="rect">
          <a:avLst/>
        </a:prstGeom>
      </xdr:spPr>
    </xdr:pic>
    <xdr:clientData/>
  </xdr:oneCellAnchor>
  <xdr:oneCellAnchor>
    <xdr:from>
      <xdr:col>2</xdr:col>
      <xdr:colOff>426720</xdr:colOff>
      <xdr:row>30</xdr:row>
      <xdr:rowOff>0</xdr:rowOff>
    </xdr:from>
    <xdr:ext cx="848412" cy="914400"/>
    <xdr:pic>
      <xdr:nvPicPr>
        <xdr:cNvPr id="9" name="thumbs down, light red" hidden="1">
          <a:extLst>
            <a:ext uri="{FF2B5EF4-FFF2-40B4-BE49-F238E27FC236}">
              <a16:creationId xmlns:a16="http://schemas.microsoft.com/office/drawing/2014/main" id="{CC768DF5-D74C-4B08-9F5E-50C89BCBF8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820" y="9334500"/>
          <a:ext cx="848412" cy="914400"/>
        </a:xfrm>
        <a:prstGeom prst="rect">
          <a:avLst/>
        </a:prstGeom>
      </xdr:spPr>
    </xdr:pic>
    <xdr:clientData/>
  </xdr:oneCellAnchor>
  <xdr:oneCellAnchor>
    <xdr:from>
      <xdr:col>10</xdr:col>
      <xdr:colOff>231420</xdr:colOff>
      <xdr:row>30</xdr:row>
      <xdr:rowOff>0</xdr:rowOff>
    </xdr:from>
    <xdr:ext cx="848412" cy="914400"/>
    <xdr:pic>
      <xdr:nvPicPr>
        <xdr:cNvPr id="10" name="thumbs up, light green" hidden="1">
          <a:extLst>
            <a:ext uri="{FF2B5EF4-FFF2-40B4-BE49-F238E27FC236}">
              <a16:creationId xmlns:a16="http://schemas.microsoft.com/office/drawing/2014/main" id="{98A20329-935B-4B25-BD1A-BEB516FCD9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765320" y="9334500"/>
          <a:ext cx="848412" cy="914400"/>
        </a:xfrm>
        <a:prstGeom prst="rect">
          <a:avLst/>
        </a:prstGeom>
      </xdr:spPr>
    </xdr:pic>
    <xdr:clientData/>
  </xdr:oneCellAnchor>
  <xdr:oneCellAnchor>
    <xdr:from>
      <xdr:col>1</xdr:col>
      <xdr:colOff>22860</xdr:colOff>
      <xdr:row>30</xdr:row>
      <xdr:rowOff>0</xdr:rowOff>
    </xdr:from>
    <xdr:ext cx="5943600" cy="3110484"/>
    <xdr:pic>
      <xdr:nvPicPr>
        <xdr:cNvPr id="11" name="Picture 10" hidden="1">
          <a:extLst>
            <a:ext uri="{FF2B5EF4-FFF2-40B4-BE49-F238E27FC236}">
              <a16:creationId xmlns:a16="http://schemas.microsoft.com/office/drawing/2014/main" id="{7F376BAE-91D7-4E43-91C2-D794CCCBFBF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9334500"/>
          <a:ext cx="5943600" cy="3110484"/>
        </a:xfrm>
        <a:prstGeom prst="rect">
          <a:avLst/>
        </a:prstGeom>
      </xdr:spPr>
    </xdr:pic>
    <xdr:clientData/>
  </xdr:oneCellAnchor>
  <xdr:oneCellAnchor>
    <xdr:from>
      <xdr:col>13</xdr:col>
      <xdr:colOff>18626</xdr:colOff>
      <xdr:row>1</xdr:row>
      <xdr:rowOff>0</xdr:rowOff>
    </xdr:from>
    <xdr:ext cx="6564378" cy="3362551"/>
    <xdr:pic>
      <xdr:nvPicPr>
        <xdr:cNvPr id="12" name="value frame PNP" hidden="1">
          <a:extLst>
            <a:ext uri="{FF2B5EF4-FFF2-40B4-BE49-F238E27FC236}">
              <a16:creationId xmlns:a16="http://schemas.microsoft.com/office/drawing/2014/main" id="{E57927BC-D471-4905-B575-566B0D909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13" name="Picture 12" hidden="1">
          <a:extLst>
            <a:ext uri="{FF2B5EF4-FFF2-40B4-BE49-F238E27FC236}">
              <a16:creationId xmlns:a16="http://schemas.microsoft.com/office/drawing/2014/main" id="{8C0CB6D7-ECDC-46D6-914A-2D774C9B9B8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24</xdr:col>
      <xdr:colOff>231420</xdr:colOff>
      <xdr:row>1</xdr:row>
      <xdr:rowOff>0</xdr:rowOff>
    </xdr:from>
    <xdr:ext cx="871272" cy="927100"/>
    <xdr:pic>
      <xdr:nvPicPr>
        <xdr:cNvPr id="14" name="thumbs up, light green" hidden="1">
          <a:extLst>
            <a:ext uri="{FF2B5EF4-FFF2-40B4-BE49-F238E27FC236}">
              <a16:creationId xmlns:a16="http://schemas.microsoft.com/office/drawing/2014/main" id="{3268D373-40EA-4D5D-B5E2-9219E2EB0F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15" name="Picture 14" hidden="1">
          <a:extLst>
            <a:ext uri="{FF2B5EF4-FFF2-40B4-BE49-F238E27FC236}">
              <a16:creationId xmlns:a16="http://schemas.microsoft.com/office/drawing/2014/main" id="{C6FDAD1F-9D14-4A13-A43B-7F00EAF4D7A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twoCellAnchor>
    <xdr:from>
      <xdr:col>2</xdr:col>
      <xdr:colOff>184150</xdr:colOff>
      <xdr:row>335</xdr:row>
      <xdr:rowOff>88900</xdr:rowOff>
    </xdr:from>
    <xdr:to>
      <xdr:col>17</xdr:col>
      <xdr:colOff>419100</xdr:colOff>
      <xdr:row>336</xdr:row>
      <xdr:rowOff>0</xdr:rowOff>
    </xdr:to>
    <xdr:sp macro="" textlink="">
      <xdr:nvSpPr>
        <xdr:cNvPr id="16" name="#1" hidden="1">
          <a:extLst>
            <a:ext uri="{FF2B5EF4-FFF2-40B4-BE49-F238E27FC236}">
              <a16:creationId xmlns:a16="http://schemas.microsoft.com/office/drawing/2014/main" id="{B9E828B6-08BC-4F0F-9F9B-AC58E6333F3D}"/>
            </a:ext>
          </a:extLst>
        </xdr:cNvPr>
        <xdr:cNvSpPr txBox="1"/>
      </xdr:nvSpPr>
      <xdr:spPr>
        <a:xfrm>
          <a:off x="603250" y="59740800"/>
          <a:ext cx="7759700" cy="7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oneCellAnchor>
    <xdr:from>
      <xdr:col>15</xdr:col>
      <xdr:colOff>165100</xdr:colOff>
      <xdr:row>1</xdr:row>
      <xdr:rowOff>0</xdr:rowOff>
    </xdr:from>
    <xdr:ext cx="2377447" cy="5852160"/>
    <xdr:pic>
      <xdr:nvPicPr>
        <xdr:cNvPr id="17" name="INVITATON meme" hidden="1">
          <a:extLst>
            <a:ext uri="{FF2B5EF4-FFF2-40B4-BE49-F238E27FC236}">
              <a16:creationId xmlns:a16="http://schemas.microsoft.com/office/drawing/2014/main" id="{F303E10C-AD67-4A56-8C47-BBDA5FCF22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0250" y="127000"/>
          <a:ext cx="2377447" cy="5852160"/>
        </a:xfrm>
        <a:prstGeom prst="rect">
          <a:avLst/>
        </a:prstGeom>
      </xdr:spPr>
    </xdr:pic>
    <xdr:clientData/>
  </xdr:oneCellAnchor>
  <xdr:twoCellAnchor>
    <xdr:from>
      <xdr:col>7</xdr:col>
      <xdr:colOff>50800</xdr:colOff>
      <xdr:row>619</xdr:row>
      <xdr:rowOff>50800</xdr:rowOff>
    </xdr:from>
    <xdr:to>
      <xdr:col>17</xdr:col>
      <xdr:colOff>381000</xdr:colOff>
      <xdr:row>621</xdr:row>
      <xdr:rowOff>114300</xdr:rowOff>
    </xdr:to>
    <xdr:sp macro="" textlink="">
      <xdr:nvSpPr>
        <xdr:cNvPr id="18" name="TextBox 17">
          <a:extLst>
            <a:ext uri="{FF2B5EF4-FFF2-40B4-BE49-F238E27FC236}">
              <a16:creationId xmlns:a16="http://schemas.microsoft.com/office/drawing/2014/main" id="{7A09C22E-8F6B-83E0-2393-309648973EAC}"/>
            </a:ext>
          </a:extLst>
        </xdr:cNvPr>
        <xdr:cNvSpPr txBox="1"/>
      </xdr:nvSpPr>
      <xdr:spPr>
        <a:xfrm>
          <a:off x="3041650" y="106591100"/>
          <a:ext cx="5283200" cy="39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Later,</a:t>
          </a:r>
          <a:r>
            <a:rPr lang="en-US" sz="1100" baseline="0"/>
            <a:t> I will have you hold me accountable by asking you how well I served your need.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18626</xdr:colOff>
      <xdr:row>1</xdr:row>
      <xdr:rowOff>0</xdr:rowOff>
    </xdr:from>
    <xdr:ext cx="6564378" cy="3362551"/>
    <xdr:pic>
      <xdr:nvPicPr>
        <xdr:cNvPr id="2" name="value frame PNP" hidden="1">
          <a:extLst>
            <a:ext uri="{FF2B5EF4-FFF2-40B4-BE49-F238E27FC236}">
              <a16:creationId xmlns:a16="http://schemas.microsoft.com/office/drawing/2014/main" id="{9CDBF95D-1F04-4F1C-A495-D5FADDDF4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3" name="Picture 2" hidden="1">
          <a:extLst>
            <a:ext uri="{FF2B5EF4-FFF2-40B4-BE49-F238E27FC236}">
              <a16:creationId xmlns:a16="http://schemas.microsoft.com/office/drawing/2014/main" id="{8372F07B-BC5E-4CDE-95B2-59FD1CBD69D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31</xdr:col>
      <xdr:colOff>426720</xdr:colOff>
      <xdr:row>343</xdr:row>
      <xdr:rowOff>0</xdr:rowOff>
    </xdr:from>
    <xdr:ext cx="873812" cy="867410"/>
    <xdr:pic>
      <xdr:nvPicPr>
        <xdr:cNvPr id="4" name="thumbs down, light red" hidden="1">
          <a:extLst>
            <a:ext uri="{FF2B5EF4-FFF2-40B4-BE49-F238E27FC236}">
              <a16:creationId xmlns:a16="http://schemas.microsoft.com/office/drawing/2014/main" id="{292657DF-AAFE-4777-9428-14094E1703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7270" y="59817000"/>
          <a:ext cx="873812" cy="867410"/>
        </a:xfrm>
        <a:prstGeom prst="rect">
          <a:avLst/>
        </a:prstGeom>
      </xdr:spPr>
    </xdr:pic>
    <xdr:clientData/>
  </xdr:oneCellAnchor>
  <xdr:oneCellAnchor>
    <xdr:from>
      <xdr:col>24</xdr:col>
      <xdr:colOff>231420</xdr:colOff>
      <xdr:row>1</xdr:row>
      <xdr:rowOff>0</xdr:rowOff>
    </xdr:from>
    <xdr:ext cx="871272" cy="927100"/>
    <xdr:pic>
      <xdr:nvPicPr>
        <xdr:cNvPr id="5" name="thumbs up, light green" hidden="1">
          <a:extLst>
            <a:ext uri="{FF2B5EF4-FFF2-40B4-BE49-F238E27FC236}">
              <a16:creationId xmlns:a16="http://schemas.microsoft.com/office/drawing/2014/main" id="{E235AD5F-6595-48F7-982E-E0C39AA4D3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6" name="Picture 5" hidden="1">
          <a:extLst>
            <a:ext uri="{FF2B5EF4-FFF2-40B4-BE49-F238E27FC236}">
              <a16:creationId xmlns:a16="http://schemas.microsoft.com/office/drawing/2014/main" id="{06F62E01-B48D-4586-AD1D-3F1E1945202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oneCellAnchor>
    <xdr:from>
      <xdr:col>13</xdr:col>
      <xdr:colOff>18626</xdr:colOff>
      <xdr:row>37</xdr:row>
      <xdr:rowOff>0</xdr:rowOff>
    </xdr:from>
    <xdr:ext cx="6450078" cy="3417161"/>
    <xdr:pic>
      <xdr:nvPicPr>
        <xdr:cNvPr id="7" name="value frame PNP" hidden="1">
          <a:extLst>
            <a:ext uri="{FF2B5EF4-FFF2-40B4-BE49-F238E27FC236}">
              <a16:creationId xmlns:a16="http://schemas.microsoft.com/office/drawing/2014/main" id="{59E07131-2ADF-4794-A5FE-C489EA7EC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9334500"/>
          <a:ext cx="6450078" cy="3417161"/>
        </a:xfrm>
        <a:prstGeom prst="rect">
          <a:avLst/>
        </a:prstGeom>
      </xdr:spPr>
    </xdr:pic>
    <xdr:clientData/>
  </xdr:oneCellAnchor>
  <xdr:oneCellAnchor>
    <xdr:from>
      <xdr:col>0</xdr:col>
      <xdr:colOff>110067</xdr:colOff>
      <xdr:row>37</xdr:row>
      <xdr:rowOff>0</xdr:rowOff>
    </xdr:from>
    <xdr:ext cx="6055204" cy="1548516"/>
    <xdr:pic>
      <xdr:nvPicPr>
        <xdr:cNvPr id="8" name="Picture 7" hidden="1">
          <a:extLst>
            <a:ext uri="{FF2B5EF4-FFF2-40B4-BE49-F238E27FC236}">
              <a16:creationId xmlns:a16="http://schemas.microsoft.com/office/drawing/2014/main" id="{E7E40899-8B8B-4DF4-A019-926000E4CE9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9334500"/>
          <a:ext cx="6055204" cy="1548516"/>
        </a:xfrm>
        <a:prstGeom prst="rect">
          <a:avLst/>
        </a:prstGeom>
      </xdr:spPr>
    </xdr:pic>
    <xdr:clientData/>
  </xdr:oneCellAnchor>
  <xdr:oneCellAnchor>
    <xdr:from>
      <xdr:col>2</xdr:col>
      <xdr:colOff>426720</xdr:colOff>
      <xdr:row>37</xdr:row>
      <xdr:rowOff>0</xdr:rowOff>
    </xdr:from>
    <xdr:ext cx="848412" cy="914400"/>
    <xdr:pic>
      <xdr:nvPicPr>
        <xdr:cNvPr id="9" name="thumbs down, light red" hidden="1">
          <a:extLst>
            <a:ext uri="{FF2B5EF4-FFF2-40B4-BE49-F238E27FC236}">
              <a16:creationId xmlns:a16="http://schemas.microsoft.com/office/drawing/2014/main" id="{1C708E9E-FB34-4BB9-9710-B0DECC9E88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820" y="9334500"/>
          <a:ext cx="848412" cy="914400"/>
        </a:xfrm>
        <a:prstGeom prst="rect">
          <a:avLst/>
        </a:prstGeom>
      </xdr:spPr>
    </xdr:pic>
    <xdr:clientData/>
  </xdr:oneCellAnchor>
  <xdr:oneCellAnchor>
    <xdr:from>
      <xdr:col>10</xdr:col>
      <xdr:colOff>231420</xdr:colOff>
      <xdr:row>37</xdr:row>
      <xdr:rowOff>0</xdr:rowOff>
    </xdr:from>
    <xdr:ext cx="848412" cy="914400"/>
    <xdr:pic>
      <xdr:nvPicPr>
        <xdr:cNvPr id="10" name="thumbs up, light green" hidden="1">
          <a:extLst>
            <a:ext uri="{FF2B5EF4-FFF2-40B4-BE49-F238E27FC236}">
              <a16:creationId xmlns:a16="http://schemas.microsoft.com/office/drawing/2014/main" id="{1C5F33CD-BCF4-4CCA-A2FA-09C93EF5A5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765320" y="9334500"/>
          <a:ext cx="848412" cy="914400"/>
        </a:xfrm>
        <a:prstGeom prst="rect">
          <a:avLst/>
        </a:prstGeom>
      </xdr:spPr>
    </xdr:pic>
    <xdr:clientData/>
  </xdr:oneCellAnchor>
  <xdr:oneCellAnchor>
    <xdr:from>
      <xdr:col>1</xdr:col>
      <xdr:colOff>22860</xdr:colOff>
      <xdr:row>37</xdr:row>
      <xdr:rowOff>0</xdr:rowOff>
    </xdr:from>
    <xdr:ext cx="5943600" cy="3110484"/>
    <xdr:pic>
      <xdr:nvPicPr>
        <xdr:cNvPr id="11" name="Picture 10" hidden="1">
          <a:extLst>
            <a:ext uri="{FF2B5EF4-FFF2-40B4-BE49-F238E27FC236}">
              <a16:creationId xmlns:a16="http://schemas.microsoft.com/office/drawing/2014/main" id="{DC012886-DC92-452F-93E6-2C7EC6F8729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9334500"/>
          <a:ext cx="5943600" cy="3110484"/>
        </a:xfrm>
        <a:prstGeom prst="rect">
          <a:avLst/>
        </a:prstGeom>
      </xdr:spPr>
    </xdr:pic>
    <xdr:clientData/>
  </xdr:oneCellAnchor>
  <xdr:oneCellAnchor>
    <xdr:from>
      <xdr:col>13</xdr:col>
      <xdr:colOff>18626</xdr:colOff>
      <xdr:row>1</xdr:row>
      <xdr:rowOff>0</xdr:rowOff>
    </xdr:from>
    <xdr:ext cx="6564378" cy="3362551"/>
    <xdr:pic>
      <xdr:nvPicPr>
        <xdr:cNvPr id="12" name="value frame PNP" hidden="1">
          <a:extLst>
            <a:ext uri="{FF2B5EF4-FFF2-40B4-BE49-F238E27FC236}">
              <a16:creationId xmlns:a16="http://schemas.microsoft.com/office/drawing/2014/main" id="{672B2AC6-267A-4737-B2D6-246FC43E1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13" name="Picture 12" hidden="1">
          <a:extLst>
            <a:ext uri="{FF2B5EF4-FFF2-40B4-BE49-F238E27FC236}">
              <a16:creationId xmlns:a16="http://schemas.microsoft.com/office/drawing/2014/main" id="{6F56E701-D1B5-4FA2-ADA3-06696EF7B55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24</xdr:col>
      <xdr:colOff>231420</xdr:colOff>
      <xdr:row>1</xdr:row>
      <xdr:rowOff>0</xdr:rowOff>
    </xdr:from>
    <xdr:ext cx="871272" cy="927100"/>
    <xdr:pic>
      <xdr:nvPicPr>
        <xdr:cNvPr id="14" name="thumbs up, light green" hidden="1">
          <a:extLst>
            <a:ext uri="{FF2B5EF4-FFF2-40B4-BE49-F238E27FC236}">
              <a16:creationId xmlns:a16="http://schemas.microsoft.com/office/drawing/2014/main" id="{0288BBF1-1D37-48E7-80FA-A4CD5716E7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15" name="Picture 14" hidden="1">
          <a:extLst>
            <a:ext uri="{FF2B5EF4-FFF2-40B4-BE49-F238E27FC236}">
              <a16:creationId xmlns:a16="http://schemas.microsoft.com/office/drawing/2014/main" id="{6C6DED11-FD68-47F3-8DE1-206F6B3D05A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twoCellAnchor>
    <xdr:from>
      <xdr:col>2</xdr:col>
      <xdr:colOff>184150</xdr:colOff>
      <xdr:row>342</xdr:row>
      <xdr:rowOff>88900</xdr:rowOff>
    </xdr:from>
    <xdr:to>
      <xdr:col>17</xdr:col>
      <xdr:colOff>419100</xdr:colOff>
      <xdr:row>343</xdr:row>
      <xdr:rowOff>0</xdr:rowOff>
    </xdr:to>
    <xdr:sp macro="" textlink="">
      <xdr:nvSpPr>
        <xdr:cNvPr id="16" name="#1" hidden="1">
          <a:extLst>
            <a:ext uri="{FF2B5EF4-FFF2-40B4-BE49-F238E27FC236}">
              <a16:creationId xmlns:a16="http://schemas.microsoft.com/office/drawing/2014/main" id="{535173F7-478B-43D2-AF69-F754636F170E}"/>
            </a:ext>
          </a:extLst>
        </xdr:cNvPr>
        <xdr:cNvSpPr txBox="1"/>
      </xdr:nvSpPr>
      <xdr:spPr>
        <a:xfrm>
          <a:off x="603250" y="59740800"/>
          <a:ext cx="7759700" cy="7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oneCellAnchor>
    <xdr:from>
      <xdr:col>15</xdr:col>
      <xdr:colOff>165100</xdr:colOff>
      <xdr:row>1</xdr:row>
      <xdr:rowOff>0</xdr:rowOff>
    </xdr:from>
    <xdr:ext cx="2377447" cy="5852160"/>
    <xdr:pic>
      <xdr:nvPicPr>
        <xdr:cNvPr id="17" name="INVITATON meme" hidden="1">
          <a:extLst>
            <a:ext uri="{FF2B5EF4-FFF2-40B4-BE49-F238E27FC236}">
              <a16:creationId xmlns:a16="http://schemas.microsoft.com/office/drawing/2014/main" id="{FBD79E56-356C-46B0-9189-8BBDAE9F72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0250" y="127000"/>
          <a:ext cx="2377447" cy="585216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18626</xdr:colOff>
      <xdr:row>1</xdr:row>
      <xdr:rowOff>0</xdr:rowOff>
    </xdr:from>
    <xdr:ext cx="6564378" cy="3362551"/>
    <xdr:pic>
      <xdr:nvPicPr>
        <xdr:cNvPr id="2" name="value frame PNP" hidden="1">
          <a:extLst>
            <a:ext uri="{FF2B5EF4-FFF2-40B4-BE49-F238E27FC236}">
              <a16:creationId xmlns:a16="http://schemas.microsoft.com/office/drawing/2014/main" id="{BA00B7BC-2F6A-457A-AA0B-20AD3F006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3" name="Picture 2" hidden="1">
          <a:extLst>
            <a:ext uri="{FF2B5EF4-FFF2-40B4-BE49-F238E27FC236}">
              <a16:creationId xmlns:a16="http://schemas.microsoft.com/office/drawing/2014/main" id="{5B871DF9-084F-45C5-981A-22610A21F00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31</xdr:col>
      <xdr:colOff>426720</xdr:colOff>
      <xdr:row>333</xdr:row>
      <xdr:rowOff>0</xdr:rowOff>
    </xdr:from>
    <xdr:ext cx="873812" cy="867410"/>
    <xdr:pic>
      <xdr:nvPicPr>
        <xdr:cNvPr id="4" name="thumbs down, light red" hidden="1">
          <a:extLst>
            <a:ext uri="{FF2B5EF4-FFF2-40B4-BE49-F238E27FC236}">
              <a16:creationId xmlns:a16="http://schemas.microsoft.com/office/drawing/2014/main" id="{3F4EB347-D3BC-487F-8707-22ACBCCBA5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7270" y="67640200"/>
          <a:ext cx="873812" cy="867410"/>
        </a:xfrm>
        <a:prstGeom prst="rect">
          <a:avLst/>
        </a:prstGeom>
      </xdr:spPr>
    </xdr:pic>
    <xdr:clientData/>
  </xdr:oneCellAnchor>
  <xdr:oneCellAnchor>
    <xdr:from>
      <xdr:col>24</xdr:col>
      <xdr:colOff>231420</xdr:colOff>
      <xdr:row>1</xdr:row>
      <xdr:rowOff>0</xdr:rowOff>
    </xdr:from>
    <xdr:ext cx="871272" cy="927100"/>
    <xdr:pic>
      <xdr:nvPicPr>
        <xdr:cNvPr id="5" name="thumbs up, light green" hidden="1">
          <a:extLst>
            <a:ext uri="{FF2B5EF4-FFF2-40B4-BE49-F238E27FC236}">
              <a16:creationId xmlns:a16="http://schemas.microsoft.com/office/drawing/2014/main" id="{6315F77A-6D44-4770-BC3B-740B9D0584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6" name="Picture 5" hidden="1">
          <a:extLst>
            <a:ext uri="{FF2B5EF4-FFF2-40B4-BE49-F238E27FC236}">
              <a16:creationId xmlns:a16="http://schemas.microsoft.com/office/drawing/2014/main" id="{FB5CA5E9-811B-475D-A44A-5682736182A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oneCellAnchor>
    <xdr:from>
      <xdr:col>13</xdr:col>
      <xdr:colOff>18626</xdr:colOff>
      <xdr:row>27</xdr:row>
      <xdr:rowOff>0</xdr:rowOff>
    </xdr:from>
    <xdr:ext cx="6450078" cy="3417161"/>
    <xdr:pic>
      <xdr:nvPicPr>
        <xdr:cNvPr id="7" name="value frame PNP" hidden="1">
          <a:extLst>
            <a:ext uri="{FF2B5EF4-FFF2-40B4-BE49-F238E27FC236}">
              <a16:creationId xmlns:a16="http://schemas.microsoft.com/office/drawing/2014/main" id="{EBCD0ACC-D8F7-4586-812A-FE2C822BC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8445500"/>
          <a:ext cx="6450078" cy="3417161"/>
        </a:xfrm>
        <a:prstGeom prst="rect">
          <a:avLst/>
        </a:prstGeom>
      </xdr:spPr>
    </xdr:pic>
    <xdr:clientData/>
  </xdr:oneCellAnchor>
  <xdr:oneCellAnchor>
    <xdr:from>
      <xdr:col>0</xdr:col>
      <xdr:colOff>110067</xdr:colOff>
      <xdr:row>27</xdr:row>
      <xdr:rowOff>0</xdr:rowOff>
    </xdr:from>
    <xdr:ext cx="6055204" cy="1548516"/>
    <xdr:pic>
      <xdr:nvPicPr>
        <xdr:cNvPr id="8" name="Picture 7" hidden="1">
          <a:extLst>
            <a:ext uri="{FF2B5EF4-FFF2-40B4-BE49-F238E27FC236}">
              <a16:creationId xmlns:a16="http://schemas.microsoft.com/office/drawing/2014/main" id="{0E7BD779-2174-4F74-9F12-21578D64CAF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8445500"/>
          <a:ext cx="6055204" cy="1548516"/>
        </a:xfrm>
        <a:prstGeom prst="rect">
          <a:avLst/>
        </a:prstGeom>
      </xdr:spPr>
    </xdr:pic>
    <xdr:clientData/>
  </xdr:oneCellAnchor>
  <xdr:oneCellAnchor>
    <xdr:from>
      <xdr:col>2</xdr:col>
      <xdr:colOff>426720</xdr:colOff>
      <xdr:row>27</xdr:row>
      <xdr:rowOff>0</xdr:rowOff>
    </xdr:from>
    <xdr:ext cx="848412" cy="914400"/>
    <xdr:pic>
      <xdr:nvPicPr>
        <xdr:cNvPr id="9" name="thumbs down, light red" hidden="1">
          <a:extLst>
            <a:ext uri="{FF2B5EF4-FFF2-40B4-BE49-F238E27FC236}">
              <a16:creationId xmlns:a16="http://schemas.microsoft.com/office/drawing/2014/main" id="{741013B5-D96E-4EB3-9238-B06B67280B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820" y="8445500"/>
          <a:ext cx="848412" cy="914400"/>
        </a:xfrm>
        <a:prstGeom prst="rect">
          <a:avLst/>
        </a:prstGeom>
      </xdr:spPr>
    </xdr:pic>
    <xdr:clientData/>
  </xdr:oneCellAnchor>
  <xdr:oneCellAnchor>
    <xdr:from>
      <xdr:col>10</xdr:col>
      <xdr:colOff>231420</xdr:colOff>
      <xdr:row>27</xdr:row>
      <xdr:rowOff>0</xdr:rowOff>
    </xdr:from>
    <xdr:ext cx="848412" cy="914400"/>
    <xdr:pic>
      <xdr:nvPicPr>
        <xdr:cNvPr id="10" name="thumbs up, light green" hidden="1">
          <a:extLst>
            <a:ext uri="{FF2B5EF4-FFF2-40B4-BE49-F238E27FC236}">
              <a16:creationId xmlns:a16="http://schemas.microsoft.com/office/drawing/2014/main" id="{8E551ABC-D43C-4182-837E-7BFE045962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765320" y="8445500"/>
          <a:ext cx="848412" cy="914400"/>
        </a:xfrm>
        <a:prstGeom prst="rect">
          <a:avLst/>
        </a:prstGeom>
      </xdr:spPr>
    </xdr:pic>
    <xdr:clientData/>
  </xdr:oneCellAnchor>
  <xdr:oneCellAnchor>
    <xdr:from>
      <xdr:col>1</xdr:col>
      <xdr:colOff>22860</xdr:colOff>
      <xdr:row>27</xdr:row>
      <xdr:rowOff>0</xdr:rowOff>
    </xdr:from>
    <xdr:ext cx="5943600" cy="3110484"/>
    <xdr:pic>
      <xdr:nvPicPr>
        <xdr:cNvPr id="11" name="Picture 10" hidden="1">
          <a:extLst>
            <a:ext uri="{FF2B5EF4-FFF2-40B4-BE49-F238E27FC236}">
              <a16:creationId xmlns:a16="http://schemas.microsoft.com/office/drawing/2014/main" id="{74477A81-8B66-4AF0-9469-221391D1E75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8445500"/>
          <a:ext cx="5943600" cy="3110484"/>
        </a:xfrm>
        <a:prstGeom prst="rect">
          <a:avLst/>
        </a:prstGeom>
      </xdr:spPr>
    </xdr:pic>
    <xdr:clientData/>
  </xdr:oneCellAnchor>
  <xdr:oneCellAnchor>
    <xdr:from>
      <xdr:col>13</xdr:col>
      <xdr:colOff>18626</xdr:colOff>
      <xdr:row>1</xdr:row>
      <xdr:rowOff>0</xdr:rowOff>
    </xdr:from>
    <xdr:ext cx="6564378" cy="3362551"/>
    <xdr:pic>
      <xdr:nvPicPr>
        <xdr:cNvPr id="12" name="value frame PNP" hidden="1">
          <a:extLst>
            <a:ext uri="{FF2B5EF4-FFF2-40B4-BE49-F238E27FC236}">
              <a16:creationId xmlns:a16="http://schemas.microsoft.com/office/drawing/2014/main" id="{89500F07-501D-4A2F-B6F2-5FA130A797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13" name="Picture 12" hidden="1">
          <a:extLst>
            <a:ext uri="{FF2B5EF4-FFF2-40B4-BE49-F238E27FC236}">
              <a16:creationId xmlns:a16="http://schemas.microsoft.com/office/drawing/2014/main" id="{0333C12F-E6D2-4EA3-8254-7BFA69410F2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24</xdr:col>
      <xdr:colOff>231420</xdr:colOff>
      <xdr:row>1</xdr:row>
      <xdr:rowOff>0</xdr:rowOff>
    </xdr:from>
    <xdr:ext cx="871272" cy="927100"/>
    <xdr:pic>
      <xdr:nvPicPr>
        <xdr:cNvPr id="14" name="thumbs up, light green" hidden="1">
          <a:extLst>
            <a:ext uri="{FF2B5EF4-FFF2-40B4-BE49-F238E27FC236}">
              <a16:creationId xmlns:a16="http://schemas.microsoft.com/office/drawing/2014/main" id="{CA41D727-2AF9-4BCC-999D-CD7F9807DF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15" name="Picture 14" hidden="1">
          <a:extLst>
            <a:ext uri="{FF2B5EF4-FFF2-40B4-BE49-F238E27FC236}">
              <a16:creationId xmlns:a16="http://schemas.microsoft.com/office/drawing/2014/main" id="{49AF0A99-FA54-4AD3-B6C3-CB6EB66C37E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twoCellAnchor>
    <xdr:from>
      <xdr:col>2</xdr:col>
      <xdr:colOff>184150</xdr:colOff>
      <xdr:row>332</xdr:row>
      <xdr:rowOff>88900</xdr:rowOff>
    </xdr:from>
    <xdr:to>
      <xdr:col>17</xdr:col>
      <xdr:colOff>419100</xdr:colOff>
      <xdr:row>333</xdr:row>
      <xdr:rowOff>0</xdr:rowOff>
    </xdr:to>
    <xdr:sp macro="" textlink="">
      <xdr:nvSpPr>
        <xdr:cNvPr id="16" name="#1" hidden="1">
          <a:extLst>
            <a:ext uri="{FF2B5EF4-FFF2-40B4-BE49-F238E27FC236}">
              <a16:creationId xmlns:a16="http://schemas.microsoft.com/office/drawing/2014/main" id="{4C636550-03EC-4ED2-9A3C-6598BDE6B988}"/>
            </a:ext>
          </a:extLst>
        </xdr:cNvPr>
        <xdr:cNvSpPr txBox="1"/>
      </xdr:nvSpPr>
      <xdr:spPr>
        <a:xfrm>
          <a:off x="603250" y="67564000"/>
          <a:ext cx="7759700" cy="7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oneCellAnchor>
    <xdr:from>
      <xdr:col>15</xdr:col>
      <xdr:colOff>165100</xdr:colOff>
      <xdr:row>1</xdr:row>
      <xdr:rowOff>0</xdr:rowOff>
    </xdr:from>
    <xdr:ext cx="2377447" cy="5852160"/>
    <xdr:pic>
      <xdr:nvPicPr>
        <xdr:cNvPr id="17" name="INVITATON meme" hidden="1">
          <a:extLst>
            <a:ext uri="{FF2B5EF4-FFF2-40B4-BE49-F238E27FC236}">
              <a16:creationId xmlns:a16="http://schemas.microsoft.com/office/drawing/2014/main" id="{3543BCD7-1A0D-4639-AE53-47290B5658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0250" y="127000"/>
          <a:ext cx="2377447" cy="585216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13</xdr:col>
      <xdr:colOff>18626</xdr:colOff>
      <xdr:row>1</xdr:row>
      <xdr:rowOff>0</xdr:rowOff>
    </xdr:from>
    <xdr:ext cx="6564378" cy="3362551"/>
    <xdr:pic>
      <xdr:nvPicPr>
        <xdr:cNvPr id="2" name="value frame PNP" hidden="1">
          <a:extLst>
            <a:ext uri="{FF2B5EF4-FFF2-40B4-BE49-F238E27FC236}">
              <a16:creationId xmlns:a16="http://schemas.microsoft.com/office/drawing/2014/main" id="{D587EB66-5403-4498-9187-C4C6189A09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41948100"/>
          <a:ext cx="6564378" cy="3362551"/>
        </a:xfrm>
        <a:prstGeom prst="rect">
          <a:avLst/>
        </a:prstGeom>
      </xdr:spPr>
    </xdr:pic>
    <xdr:clientData/>
  </xdr:oneCellAnchor>
  <xdr:oneCellAnchor>
    <xdr:from>
      <xdr:col>14</xdr:col>
      <xdr:colOff>110067</xdr:colOff>
      <xdr:row>1</xdr:row>
      <xdr:rowOff>0</xdr:rowOff>
    </xdr:from>
    <xdr:ext cx="6184744" cy="1505336"/>
    <xdr:pic>
      <xdr:nvPicPr>
        <xdr:cNvPr id="3" name="Picture 2" hidden="1">
          <a:extLst>
            <a:ext uri="{FF2B5EF4-FFF2-40B4-BE49-F238E27FC236}">
              <a16:creationId xmlns:a16="http://schemas.microsoft.com/office/drawing/2014/main" id="{DE3C0DDC-B42C-4C42-A285-0A8B7D9A930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41948100"/>
          <a:ext cx="6184744" cy="1505336"/>
        </a:xfrm>
        <a:prstGeom prst="rect">
          <a:avLst/>
        </a:prstGeom>
      </xdr:spPr>
    </xdr:pic>
    <xdr:clientData/>
  </xdr:oneCellAnchor>
  <xdr:oneCellAnchor>
    <xdr:from>
      <xdr:col>31</xdr:col>
      <xdr:colOff>426720</xdr:colOff>
      <xdr:row>342</xdr:row>
      <xdr:rowOff>0</xdr:rowOff>
    </xdr:from>
    <xdr:ext cx="873812" cy="867410"/>
    <xdr:pic>
      <xdr:nvPicPr>
        <xdr:cNvPr id="4" name="thumbs down, light red" hidden="1">
          <a:extLst>
            <a:ext uri="{FF2B5EF4-FFF2-40B4-BE49-F238E27FC236}">
              <a16:creationId xmlns:a16="http://schemas.microsoft.com/office/drawing/2014/main" id="{365DCA08-D650-41CF-AF20-E7299A5526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7270" y="293395400"/>
          <a:ext cx="873812" cy="867410"/>
        </a:xfrm>
        <a:prstGeom prst="rect">
          <a:avLst/>
        </a:prstGeom>
      </xdr:spPr>
    </xdr:pic>
    <xdr:clientData/>
  </xdr:oneCellAnchor>
  <xdr:oneCellAnchor>
    <xdr:from>
      <xdr:col>24</xdr:col>
      <xdr:colOff>231420</xdr:colOff>
      <xdr:row>1</xdr:row>
      <xdr:rowOff>0</xdr:rowOff>
    </xdr:from>
    <xdr:ext cx="871272" cy="927100"/>
    <xdr:pic>
      <xdr:nvPicPr>
        <xdr:cNvPr id="5" name="thumbs up, light green" hidden="1">
          <a:extLst>
            <a:ext uri="{FF2B5EF4-FFF2-40B4-BE49-F238E27FC236}">
              <a16:creationId xmlns:a16="http://schemas.microsoft.com/office/drawing/2014/main" id="{F82C5A8E-68B7-40AD-B645-5B74F3B062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41948100"/>
          <a:ext cx="871272" cy="927100"/>
        </a:xfrm>
        <a:prstGeom prst="rect">
          <a:avLst/>
        </a:prstGeom>
      </xdr:spPr>
    </xdr:pic>
    <xdr:clientData/>
  </xdr:oneCellAnchor>
  <xdr:oneCellAnchor>
    <xdr:from>
      <xdr:col>15</xdr:col>
      <xdr:colOff>22860</xdr:colOff>
      <xdr:row>1</xdr:row>
      <xdr:rowOff>0</xdr:rowOff>
    </xdr:from>
    <xdr:ext cx="5943600" cy="3110484"/>
    <xdr:pic>
      <xdr:nvPicPr>
        <xdr:cNvPr id="6" name="Picture 5" hidden="1">
          <a:extLst>
            <a:ext uri="{FF2B5EF4-FFF2-40B4-BE49-F238E27FC236}">
              <a16:creationId xmlns:a16="http://schemas.microsoft.com/office/drawing/2014/main" id="{33CB2D0F-9705-4758-BD08-D1F5B599341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41948100"/>
          <a:ext cx="5943600" cy="3110484"/>
        </a:xfrm>
        <a:prstGeom prst="rect">
          <a:avLst/>
        </a:prstGeom>
      </xdr:spPr>
    </xdr:pic>
    <xdr:clientData/>
  </xdr:oneCellAnchor>
  <xdr:oneCellAnchor>
    <xdr:from>
      <xdr:col>13</xdr:col>
      <xdr:colOff>18626</xdr:colOff>
      <xdr:row>17</xdr:row>
      <xdr:rowOff>0</xdr:rowOff>
    </xdr:from>
    <xdr:ext cx="6450078" cy="3417161"/>
    <xdr:pic>
      <xdr:nvPicPr>
        <xdr:cNvPr id="7" name="value frame PNP" hidden="1">
          <a:extLst>
            <a:ext uri="{FF2B5EF4-FFF2-40B4-BE49-F238E27FC236}">
              <a16:creationId xmlns:a16="http://schemas.microsoft.com/office/drawing/2014/main" id="{9AC30DE2-44A1-4A46-84E0-7DC91DCE8D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237718600"/>
          <a:ext cx="6450078" cy="3417161"/>
        </a:xfrm>
        <a:prstGeom prst="rect">
          <a:avLst/>
        </a:prstGeom>
      </xdr:spPr>
    </xdr:pic>
    <xdr:clientData/>
  </xdr:oneCellAnchor>
  <xdr:oneCellAnchor>
    <xdr:from>
      <xdr:col>0</xdr:col>
      <xdr:colOff>110067</xdr:colOff>
      <xdr:row>17</xdr:row>
      <xdr:rowOff>0</xdr:rowOff>
    </xdr:from>
    <xdr:ext cx="6055204" cy="1548516"/>
    <xdr:pic>
      <xdr:nvPicPr>
        <xdr:cNvPr id="8" name="Picture 7" hidden="1">
          <a:extLst>
            <a:ext uri="{FF2B5EF4-FFF2-40B4-BE49-F238E27FC236}">
              <a16:creationId xmlns:a16="http://schemas.microsoft.com/office/drawing/2014/main" id="{D5F90766-9A9B-4750-93FE-3DD696A0EDE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237718600"/>
          <a:ext cx="6055204" cy="1548516"/>
        </a:xfrm>
        <a:prstGeom prst="rect">
          <a:avLst/>
        </a:prstGeom>
      </xdr:spPr>
    </xdr:pic>
    <xdr:clientData/>
  </xdr:oneCellAnchor>
  <xdr:oneCellAnchor>
    <xdr:from>
      <xdr:col>2</xdr:col>
      <xdr:colOff>426720</xdr:colOff>
      <xdr:row>17</xdr:row>
      <xdr:rowOff>0</xdr:rowOff>
    </xdr:from>
    <xdr:ext cx="848412" cy="914400"/>
    <xdr:pic>
      <xdr:nvPicPr>
        <xdr:cNvPr id="9" name="thumbs down, light red" hidden="1">
          <a:extLst>
            <a:ext uri="{FF2B5EF4-FFF2-40B4-BE49-F238E27FC236}">
              <a16:creationId xmlns:a16="http://schemas.microsoft.com/office/drawing/2014/main" id="{7898F104-CEED-4161-A93E-07D2D23443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820" y="237718600"/>
          <a:ext cx="848412" cy="914400"/>
        </a:xfrm>
        <a:prstGeom prst="rect">
          <a:avLst/>
        </a:prstGeom>
      </xdr:spPr>
    </xdr:pic>
    <xdr:clientData/>
  </xdr:oneCellAnchor>
  <xdr:oneCellAnchor>
    <xdr:from>
      <xdr:col>10</xdr:col>
      <xdr:colOff>231420</xdr:colOff>
      <xdr:row>17</xdr:row>
      <xdr:rowOff>0</xdr:rowOff>
    </xdr:from>
    <xdr:ext cx="848412" cy="914400"/>
    <xdr:pic>
      <xdr:nvPicPr>
        <xdr:cNvPr id="10" name="thumbs up, light green" hidden="1">
          <a:extLst>
            <a:ext uri="{FF2B5EF4-FFF2-40B4-BE49-F238E27FC236}">
              <a16:creationId xmlns:a16="http://schemas.microsoft.com/office/drawing/2014/main" id="{D345F4CB-6150-458F-A4E2-9182254FDD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765320" y="237718600"/>
          <a:ext cx="848412" cy="914400"/>
        </a:xfrm>
        <a:prstGeom prst="rect">
          <a:avLst/>
        </a:prstGeom>
      </xdr:spPr>
    </xdr:pic>
    <xdr:clientData/>
  </xdr:oneCellAnchor>
  <xdr:oneCellAnchor>
    <xdr:from>
      <xdr:col>1</xdr:col>
      <xdr:colOff>22860</xdr:colOff>
      <xdr:row>17</xdr:row>
      <xdr:rowOff>0</xdr:rowOff>
    </xdr:from>
    <xdr:ext cx="5943600" cy="3110484"/>
    <xdr:pic>
      <xdr:nvPicPr>
        <xdr:cNvPr id="11" name="Picture 10" hidden="1">
          <a:extLst>
            <a:ext uri="{FF2B5EF4-FFF2-40B4-BE49-F238E27FC236}">
              <a16:creationId xmlns:a16="http://schemas.microsoft.com/office/drawing/2014/main" id="{34762B85-8EB6-4ECB-9EB1-3BF202B1658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237718600"/>
          <a:ext cx="5943600" cy="3110484"/>
        </a:xfrm>
        <a:prstGeom prst="rect">
          <a:avLst/>
        </a:prstGeom>
      </xdr:spPr>
    </xdr:pic>
    <xdr:clientData/>
  </xdr:oneCellAnchor>
  <xdr:oneCellAnchor>
    <xdr:from>
      <xdr:col>13</xdr:col>
      <xdr:colOff>18626</xdr:colOff>
      <xdr:row>1</xdr:row>
      <xdr:rowOff>0</xdr:rowOff>
    </xdr:from>
    <xdr:ext cx="6564378" cy="3362551"/>
    <xdr:pic>
      <xdr:nvPicPr>
        <xdr:cNvPr id="12" name="value frame PNP" hidden="1">
          <a:extLst>
            <a:ext uri="{FF2B5EF4-FFF2-40B4-BE49-F238E27FC236}">
              <a16:creationId xmlns:a16="http://schemas.microsoft.com/office/drawing/2014/main" id="{EB21F9E0-5E06-4A09-8A83-C334C9817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41948100"/>
          <a:ext cx="6564378" cy="3362551"/>
        </a:xfrm>
        <a:prstGeom prst="rect">
          <a:avLst/>
        </a:prstGeom>
      </xdr:spPr>
    </xdr:pic>
    <xdr:clientData/>
  </xdr:oneCellAnchor>
  <xdr:oneCellAnchor>
    <xdr:from>
      <xdr:col>14</xdr:col>
      <xdr:colOff>110067</xdr:colOff>
      <xdr:row>1</xdr:row>
      <xdr:rowOff>0</xdr:rowOff>
    </xdr:from>
    <xdr:ext cx="6184744" cy="1505336"/>
    <xdr:pic>
      <xdr:nvPicPr>
        <xdr:cNvPr id="13" name="Picture 12" hidden="1">
          <a:extLst>
            <a:ext uri="{FF2B5EF4-FFF2-40B4-BE49-F238E27FC236}">
              <a16:creationId xmlns:a16="http://schemas.microsoft.com/office/drawing/2014/main" id="{416CFBD0-3D1B-4609-A712-2B6653E7662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41948100"/>
          <a:ext cx="6184744" cy="1505336"/>
        </a:xfrm>
        <a:prstGeom prst="rect">
          <a:avLst/>
        </a:prstGeom>
      </xdr:spPr>
    </xdr:pic>
    <xdr:clientData/>
  </xdr:oneCellAnchor>
  <xdr:oneCellAnchor>
    <xdr:from>
      <xdr:col>24</xdr:col>
      <xdr:colOff>231420</xdr:colOff>
      <xdr:row>1</xdr:row>
      <xdr:rowOff>0</xdr:rowOff>
    </xdr:from>
    <xdr:ext cx="871272" cy="927100"/>
    <xdr:pic>
      <xdr:nvPicPr>
        <xdr:cNvPr id="14" name="thumbs up, light green" hidden="1">
          <a:extLst>
            <a:ext uri="{FF2B5EF4-FFF2-40B4-BE49-F238E27FC236}">
              <a16:creationId xmlns:a16="http://schemas.microsoft.com/office/drawing/2014/main" id="{DDAC25A2-3B93-4A6C-B236-7C3384F25B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41948100"/>
          <a:ext cx="871272" cy="927100"/>
        </a:xfrm>
        <a:prstGeom prst="rect">
          <a:avLst/>
        </a:prstGeom>
      </xdr:spPr>
    </xdr:pic>
    <xdr:clientData/>
  </xdr:oneCellAnchor>
  <xdr:oneCellAnchor>
    <xdr:from>
      <xdr:col>15</xdr:col>
      <xdr:colOff>22860</xdr:colOff>
      <xdr:row>1</xdr:row>
      <xdr:rowOff>0</xdr:rowOff>
    </xdr:from>
    <xdr:ext cx="5943600" cy="3110484"/>
    <xdr:pic>
      <xdr:nvPicPr>
        <xdr:cNvPr id="15" name="Picture 14" hidden="1">
          <a:extLst>
            <a:ext uri="{FF2B5EF4-FFF2-40B4-BE49-F238E27FC236}">
              <a16:creationId xmlns:a16="http://schemas.microsoft.com/office/drawing/2014/main" id="{30FBD32E-1BA1-4A27-8AD2-7FD0E2D1821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41948100"/>
          <a:ext cx="5943600" cy="3110484"/>
        </a:xfrm>
        <a:prstGeom prst="rect">
          <a:avLst/>
        </a:prstGeom>
      </xdr:spPr>
    </xdr:pic>
    <xdr:clientData/>
  </xdr:oneCellAnchor>
  <xdr:twoCellAnchor>
    <xdr:from>
      <xdr:col>2</xdr:col>
      <xdr:colOff>184150</xdr:colOff>
      <xdr:row>341</xdr:row>
      <xdr:rowOff>88900</xdr:rowOff>
    </xdr:from>
    <xdr:to>
      <xdr:col>17</xdr:col>
      <xdr:colOff>419100</xdr:colOff>
      <xdr:row>342</xdr:row>
      <xdr:rowOff>0</xdr:rowOff>
    </xdr:to>
    <xdr:sp macro="" textlink="">
      <xdr:nvSpPr>
        <xdr:cNvPr id="17" name="#1" hidden="1">
          <a:extLst>
            <a:ext uri="{FF2B5EF4-FFF2-40B4-BE49-F238E27FC236}">
              <a16:creationId xmlns:a16="http://schemas.microsoft.com/office/drawing/2014/main" id="{54FD40CF-C96A-462B-8622-3B3921415AFC}"/>
            </a:ext>
          </a:extLst>
        </xdr:cNvPr>
        <xdr:cNvSpPr txBox="1"/>
      </xdr:nvSpPr>
      <xdr:spPr>
        <a:xfrm>
          <a:off x="603250" y="292976300"/>
          <a:ext cx="7759700" cy="58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oneCellAnchor>
    <xdr:from>
      <xdr:col>15</xdr:col>
      <xdr:colOff>165100</xdr:colOff>
      <xdr:row>1</xdr:row>
      <xdr:rowOff>0</xdr:rowOff>
    </xdr:from>
    <xdr:ext cx="2377447" cy="5852160"/>
    <xdr:pic>
      <xdr:nvPicPr>
        <xdr:cNvPr id="22" name="INVITATON meme" hidden="1">
          <a:extLst>
            <a:ext uri="{FF2B5EF4-FFF2-40B4-BE49-F238E27FC236}">
              <a16:creationId xmlns:a16="http://schemas.microsoft.com/office/drawing/2014/main" id="{16B0A0E3-9FCB-4514-80CA-6A2BF0C724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0250" y="41948100"/>
          <a:ext cx="2377447" cy="5852160"/>
        </a:xfrm>
        <a:prstGeom prst="rect">
          <a:avLst/>
        </a:prstGeom>
      </xdr:spPr>
    </xdr:pic>
    <xdr:clientData/>
  </xdr:oneCellAnchor>
  <xdr:twoCellAnchor>
    <xdr:from>
      <xdr:col>13</xdr:col>
      <xdr:colOff>53976</xdr:colOff>
      <xdr:row>18</xdr:row>
      <xdr:rowOff>282576</xdr:rowOff>
    </xdr:from>
    <xdr:to>
      <xdr:col>14</xdr:col>
      <xdr:colOff>22226</xdr:colOff>
      <xdr:row>19</xdr:row>
      <xdr:rowOff>79376</xdr:rowOff>
    </xdr:to>
    <xdr:sp macro="" textlink="">
      <xdr:nvSpPr>
        <xdr:cNvPr id="164" name="Isosceles Triangle 163">
          <a:extLst>
            <a:ext uri="{FF2B5EF4-FFF2-40B4-BE49-F238E27FC236}">
              <a16:creationId xmlns:a16="http://schemas.microsoft.com/office/drawing/2014/main" id="{C7045B27-FD16-0A9B-FE16-862A7E3BBED8}"/>
            </a:ext>
          </a:extLst>
        </xdr:cNvPr>
        <xdr:cNvSpPr/>
      </xdr:nvSpPr>
      <xdr:spPr>
        <a:xfrm rot="2700000">
          <a:off x="6324601" y="8934451"/>
          <a:ext cx="114300" cy="82550"/>
        </a:xfrm>
        <a:prstGeom prst="triangle">
          <a:avLst/>
        </a:prstGeom>
        <a:solidFill>
          <a:srgbClr val="CCFF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50800</xdr:colOff>
      <xdr:row>37</xdr:row>
      <xdr:rowOff>69850</xdr:rowOff>
    </xdr:from>
    <xdr:to>
      <xdr:col>13</xdr:col>
      <xdr:colOff>73660</xdr:colOff>
      <xdr:row>109</xdr:row>
      <xdr:rowOff>69850</xdr:rowOff>
    </xdr:to>
    <xdr:sp macro="" textlink="">
      <xdr:nvSpPr>
        <xdr:cNvPr id="16" name="Your presenging &quot;responsive rep&quot;">
          <a:extLst>
            <a:ext uri="{FF2B5EF4-FFF2-40B4-BE49-F238E27FC236}">
              <a16:creationId xmlns:a16="http://schemas.microsoft.com/office/drawing/2014/main" id="{6FA5C0D3-5424-4B90-A51D-6667C204C950}"/>
            </a:ext>
          </a:extLst>
        </xdr:cNvPr>
        <xdr:cNvSpPr txBox="1"/>
      </xdr:nvSpPr>
      <xdr:spPr>
        <a:xfrm>
          <a:off x="50800" y="17354550"/>
          <a:ext cx="6309360" cy="11887200"/>
        </a:xfrm>
        <a:prstGeom prst="rect">
          <a:avLst/>
        </a:prstGeom>
        <a:solidFill>
          <a:srgbClr val="CC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INVITATION</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TO MY WELLNESS CAMPAIGN</a:t>
          </a:r>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50" b="1" spc="-30">
              <a:solidFill>
                <a:srgbClr val="1D2228"/>
              </a:solidFill>
              <a:effectLst/>
              <a:latin typeface="Tahoma" panose="020B0604030504040204" pitchFamily="34" charset="0"/>
              <a:ea typeface="Tahoma" panose="020B0604030504040204" pitchFamily="34" charset="0"/>
              <a:cs typeface="Tahoma" panose="020B0604030504040204" pitchFamily="34" charset="0"/>
            </a:rPr>
            <a:t>NAME, here</a:t>
          </a:r>
          <a:r>
            <a:rPr lang="en-US" sz="1050" b="1" spc="-30" baseline="0">
              <a:solidFill>
                <a:srgbClr val="1D2228"/>
              </a:solidFill>
              <a:effectLst/>
              <a:latin typeface="Tahoma" panose="020B0604030504040204" pitchFamily="34" charset="0"/>
              <a:ea typeface="Tahoma" panose="020B0604030504040204" pitchFamily="34" charset="0"/>
              <a:cs typeface="Tahoma" panose="020B0604030504040204" pitchFamily="34" charset="0"/>
            </a:rPr>
            <a:t> is y</a:t>
          </a:r>
          <a:r>
            <a:rPr lang="en-US" sz="1050" b="1" spc="-30">
              <a:solidFill>
                <a:srgbClr val="1D2228"/>
              </a:solidFill>
              <a:effectLst/>
              <a:latin typeface="Tahoma" panose="020B0604030504040204" pitchFamily="34" charset="0"/>
              <a:ea typeface="Tahoma" panose="020B0604030504040204" pitchFamily="34" charset="0"/>
              <a:cs typeface="Tahoma" panose="020B0604030504040204" pitchFamily="34" charset="0"/>
            </a:rPr>
            <a:t>our presenting</a:t>
          </a:r>
          <a:r>
            <a:rPr lang="en-US" sz="1050" b="1" spc="-30" baseline="0">
              <a:solidFill>
                <a:srgbClr val="1D2228"/>
              </a:solidFill>
              <a:effectLst/>
              <a:latin typeface="Tahoma" panose="020B0604030504040204" pitchFamily="34" charset="0"/>
              <a:ea typeface="Tahoma" panose="020B0604030504040204" pitchFamily="34" charset="0"/>
              <a:cs typeface="Tahoma" panose="020B0604030504040204" pitchFamily="34" charset="0"/>
            </a:rPr>
            <a:t> "responsive reputation"</a:t>
          </a:r>
          <a:endParaRPr lang="en-US" sz="1050" b="1" spc="-30">
            <a:solidFill>
              <a:srgbClr val="1D2228"/>
            </a:solidFill>
            <a:effectLst/>
            <a:latin typeface="Tahoma" panose="020B0604030504040204" pitchFamily="34" charset="0"/>
            <a:ea typeface="Tahoma" panose="020B0604030504040204" pitchFamily="34" charset="0"/>
            <a:cs typeface="Tahoma" panose="020B0604030504040204" pitchFamily="34" charset="0"/>
          </a:endParaRPr>
        </a:p>
        <a:p>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Thank you for participating. This wellness warmup exercise illuminates how </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responsive each of us are to the needs of others. The less we respond to each other's expressed needs, the greater the risk for problems, for pain, and missed potential. The better we respond to each other's needs, the better all of our lives can be. </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What gets measured generally gets done. So we're introducing a "responsive reputation" to everyone affecting our needs. NAME, your responsive reputation score is currently </a:t>
          </a:r>
          <a:r>
            <a:rPr lang="en-US" sz="1000" b="1"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You can improve your score by continuing to participate in my upcoming wellness campaign.</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can use this "responsive reputation" score when seeking a job, in your LinkedIn profile, when confronted by someone trying to pull you into a conflict, when speaking truth to power, and much more. Unfortunately, y</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our level of responsiveness during this</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exercise </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presented as </a:t>
          </a:r>
          <a:r>
            <a:rPr lang="en-US" sz="1000" b="1"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disappointing</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Perhaps I failed in some way to earn your trust. Or failed to inspire you with my loving intent. Or maybe this simply wasn't the best time for you to respond to this invitation. </a:t>
          </a:r>
        </a:p>
        <a:p>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Thank you anyways for participating in this</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learning experience. I hope it contributed something positive to your life. Again, thank you, NAME.</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I was going to next invite you to follow my wellness campaign. I now leave that up to you. You can learn more about it by clicking the button below.</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can use this "responsive reputation" score when seeking a job, in your LinkedIn profile, when confronted by someone trying to pull you into a conflict, when speaking truth to power, and much more. Your level of responsiveness </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during this exercise presented as </a:t>
          </a:r>
          <a:r>
            <a:rPr lang="en-US" sz="1000" b="1"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minimally sufficient</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You appear to have much</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room to improve your responsiveness to needs. As do I. </a:t>
          </a: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There are many factors involved. Some beyond our personal control. Together, we can transcend</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those barriers with the power of love.</a:t>
          </a:r>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My</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Follow the launch of my upcoming wellness campaign. ...</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can use this "responsive reputation" score when seeking a job, in your LinkedIn profile, when confronted by someone trying to pull you into a conflict, when speaking truth to power, and much more. Your level of responsiveness during this exercise presented as </a:t>
          </a:r>
          <a:r>
            <a:rPr lang="en-US" sz="1000" b="1"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adequately sufficient</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You appear to appreciate the value of being more responsive to needs. You can become even more responsive by overcoming remaining challenges. Together, we can transcend those barriers with the power of love.</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a:t>
          </a:r>
        </a:p>
        <a:p>
          <a:pPr eaLnBrk="1" fontAlgn="auto" latinLnBrk="0" hangingPunct="1"/>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Follow the launch of my upcoming wellness campaign. ...</a:t>
          </a:r>
        </a:p>
        <a:p>
          <a:pPr eaLnBrk="1" fontAlgn="auto" latinLnBrk="0" hangingPunct="1"/>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can use this "responsive reputation" score when seeking a job, in your LinkedIn profile, when confronted by someone trying to pull you into a conflict, when speaking truth to power, and much more. Your level of responsiveness during this exercise presented as </a:t>
          </a:r>
          <a:r>
            <a:rPr lang="en-US" sz="1000" b="1"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potentially significant</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You appear to significantly value being as responsive to needs as possible. You can become even more responsive by overcoming remaining challenges. Together, we can transcend those barriers with the power of love.</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a:t>
          </a:r>
        </a:p>
        <a:p>
          <a:pPr eaLnBrk="1" fontAlgn="auto" latinLnBrk="0" hangingPunct="1"/>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Follow the launch of my upcoming wellness campaign. ...</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can use this "responsive reputation" score when seeking a job, in your LinkedIn profile, when confronted by someone trying to pull you into a conflict, when speaking truth to power, and much more. Your level of responsiveness during this exercise presented as </a:t>
          </a:r>
          <a:r>
            <a:rPr lang="en-US" sz="1000" b="1"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exemplary </a:t>
          </a:r>
          <a:r>
            <a:rPr lang="en-US" sz="1000" b="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and even</a:t>
          </a:r>
          <a:r>
            <a:rPr lang="en-US" sz="1000" b="1"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inspirational</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To sustain such responsiveness will require you to challenge some barriers beyond your persoal control. Together, we can transcend those barriers with the power of love.</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a:t>
          </a:r>
        </a:p>
        <a:p>
          <a:pPr eaLnBrk="1" fontAlgn="auto" latinLnBrk="0" hangingPunct="1"/>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eaLnBrk="1" fontAlgn="auto" latinLnBrk="0" hangingPunct="1"/>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Follow the launch of my upcoming wellness campaign. ...</a:t>
          </a: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strike="sngStrike" baseline="0">
              <a:solidFill>
                <a:schemeClr val="dk1"/>
              </a:solidFill>
              <a:effectLst/>
              <a:latin typeface="+mn-lt"/>
              <a:ea typeface="+mn-ea"/>
              <a:cs typeface="+mn-cs"/>
            </a:rPr>
            <a:t>Your level of responsiveness currently presents as inspriationally excellent.</a:t>
          </a:r>
          <a:endParaRPr lang="en-US" sz="1000" strike="sngStrike"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document your responsiveness...</a:t>
          </a:r>
          <a:endParaRPr lang="en-US" sz="1000">
            <a:effectLst/>
          </a:endParaRPr>
        </a:p>
        <a:p>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xdr:txBody>
    </xdr:sp>
    <xdr:clientData/>
  </xdr:twoCellAnchor>
  <xdr:twoCellAnchor>
    <xdr:from>
      <xdr:col>14</xdr:col>
      <xdr:colOff>0</xdr:colOff>
      <xdr:row>38</xdr:row>
      <xdr:rowOff>0</xdr:rowOff>
    </xdr:from>
    <xdr:to>
      <xdr:col>21</xdr:col>
      <xdr:colOff>38100</xdr:colOff>
      <xdr:row>76</xdr:row>
      <xdr:rowOff>51971</xdr:rowOff>
    </xdr:to>
    <xdr:sp macro="" textlink="">
      <xdr:nvSpPr>
        <xdr:cNvPr id="18" name="warmup introduction">
          <a:extLst>
            <a:ext uri="{FF2B5EF4-FFF2-40B4-BE49-F238E27FC236}">
              <a16:creationId xmlns:a16="http://schemas.microsoft.com/office/drawing/2014/main" id="{12FC59CD-14A9-4FF0-B628-88B89066FBA7}"/>
            </a:ext>
          </a:extLst>
        </xdr:cNvPr>
        <xdr:cNvSpPr txBox="1"/>
      </xdr:nvSpPr>
      <xdr:spPr>
        <a:xfrm>
          <a:off x="6400800" y="17449800"/>
          <a:ext cx="3638550" cy="6325771"/>
        </a:xfrm>
        <a:prstGeom prst="rect">
          <a:avLst/>
        </a:prstGeom>
        <a:solidFill>
          <a:srgbClr val="CCFFCC"/>
        </a:solid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pPr>
          <a:r>
            <a:rPr lang="en-US" sz="1400" b="1">
              <a:effectLst/>
              <a:latin typeface="Arial" panose="020B0604020202020204" pitchFamily="34" charset="0"/>
              <a:ea typeface="+mn-ea"/>
              <a:cs typeface="Arial" panose="020B0604020202020204" pitchFamily="34" charset="0"/>
            </a:rPr>
            <a:t>warmup introduction</a:t>
          </a:r>
          <a:endParaRPr lang="en-US" sz="1400" b="1" spc="-30">
            <a:solidFill>
              <a:srgbClr val="1D2228"/>
            </a:solidFill>
            <a:effectLst/>
            <a:latin typeface="Arial" panose="020B0604020202020204" pitchFamily="34" charset="0"/>
            <a:ea typeface="Times New Roman" panose="02020603050405020304" pitchFamily="18" charset="0"/>
            <a:cs typeface="Arial" panose="020B0604020202020204" pitchFamily="34"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Today, I'm starting something new with you. In</a:t>
          </a:r>
          <a:r>
            <a:rPr lang="en-US" sz="1000" spc="-30" baseline="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 world lacking sufficient love, I am trying to spark a little love into this world...into your world.</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endParaRPr>
        </a:p>
        <a:p>
          <a:pPr marL="0" marR="0">
            <a:spcBef>
              <a:spcPts val="0"/>
            </a:spcBef>
            <a:spcAft>
              <a:spcPts val="0"/>
            </a:spcAft>
          </a:pP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I may or may not ask something of you. But first, to set the tone, I'm inviting you to ask something of 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It would be something you need of me. Something easily actionable. Not too complicated. Yet meaningful, serving something you truly need of 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You may assume I should already know that you need this of me. But our current norms anchored in classical liberalism provides little if any guidance.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Liberalism in its classic sense is rapidly collapsing all around us. The world slips closer to widespread and local violent conflicts. No one truly appreciates each other's painfully underserved needs. The more desperate we get, the more violent options seem viable.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Today, I introduce a viable alternative to our failing social norms of alienation, isolation, and hyperindividualim. Today, I offer you a viable way out of that despairing rabbit hole, Today, I reignite our untapped potential for mutual respect and love.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Today, I invite you to tell me something I can do to better respect you and your needs.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Perhaps you need me to be a better listener. Maybe I don't realize when I cut you off or interrupt too much.</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Perhaps you need me to be more generous with my time. Maybe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Perhaps you need me to relate more honestly with who you authentically are. Maybe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000" spc="-30">
              <a:solidFill>
                <a:srgbClr val="1D2228"/>
              </a:solidFill>
              <a:effectLst/>
              <a:latin typeface="Cambria Math" panose="02040503050406030204" pitchFamily="18" charset="0"/>
              <a:ea typeface="Times New Roman" panose="02020603050405020304" pitchFamily="18" charset="0"/>
              <a:cs typeface="Helvetica" panose="020B0604020202020204" pitchFamily="34" charset="0"/>
            </a:rPr>
            <a:t>I look forward to your reply to my invitation: Is there something I can do to better respect you and your needs? Thank you ahead of time for your thoughtful reply.</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13</xdr:col>
      <xdr:colOff>18626</xdr:colOff>
      <xdr:row>1</xdr:row>
      <xdr:rowOff>0</xdr:rowOff>
    </xdr:from>
    <xdr:ext cx="6564378" cy="3362551"/>
    <xdr:pic>
      <xdr:nvPicPr>
        <xdr:cNvPr id="2" name="value frame PNP" hidden="1">
          <a:extLst>
            <a:ext uri="{FF2B5EF4-FFF2-40B4-BE49-F238E27FC236}">
              <a16:creationId xmlns:a16="http://schemas.microsoft.com/office/drawing/2014/main" id="{7813EF22-B1FF-409D-B84D-B62DC2FA8C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3" name="Picture 2" hidden="1">
          <a:extLst>
            <a:ext uri="{FF2B5EF4-FFF2-40B4-BE49-F238E27FC236}">
              <a16:creationId xmlns:a16="http://schemas.microsoft.com/office/drawing/2014/main" id="{3BD11745-4C05-4128-9FD7-ADFE29AA8AD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31</xdr:col>
      <xdr:colOff>426720</xdr:colOff>
      <xdr:row>332</xdr:row>
      <xdr:rowOff>0</xdr:rowOff>
    </xdr:from>
    <xdr:ext cx="873812" cy="867410"/>
    <xdr:pic>
      <xdr:nvPicPr>
        <xdr:cNvPr id="4" name="thumbs down, light red" hidden="1">
          <a:extLst>
            <a:ext uri="{FF2B5EF4-FFF2-40B4-BE49-F238E27FC236}">
              <a16:creationId xmlns:a16="http://schemas.microsoft.com/office/drawing/2014/main" id="{5DB52511-FAEA-4E29-A679-7DE6A9A6B0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7270" y="59817000"/>
          <a:ext cx="873812" cy="867410"/>
        </a:xfrm>
        <a:prstGeom prst="rect">
          <a:avLst/>
        </a:prstGeom>
      </xdr:spPr>
    </xdr:pic>
    <xdr:clientData/>
  </xdr:oneCellAnchor>
  <xdr:oneCellAnchor>
    <xdr:from>
      <xdr:col>24</xdr:col>
      <xdr:colOff>231420</xdr:colOff>
      <xdr:row>1</xdr:row>
      <xdr:rowOff>0</xdr:rowOff>
    </xdr:from>
    <xdr:ext cx="871272" cy="927100"/>
    <xdr:pic>
      <xdr:nvPicPr>
        <xdr:cNvPr id="5" name="thumbs up, light green" hidden="1">
          <a:extLst>
            <a:ext uri="{FF2B5EF4-FFF2-40B4-BE49-F238E27FC236}">
              <a16:creationId xmlns:a16="http://schemas.microsoft.com/office/drawing/2014/main" id="{7382DFFE-51AF-4970-9B79-91DB7D7358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6" name="Picture 5" hidden="1">
          <a:extLst>
            <a:ext uri="{FF2B5EF4-FFF2-40B4-BE49-F238E27FC236}">
              <a16:creationId xmlns:a16="http://schemas.microsoft.com/office/drawing/2014/main" id="{3B7D124C-40BC-40B5-BE1D-28BE1B07284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oneCellAnchor>
    <xdr:from>
      <xdr:col>13</xdr:col>
      <xdr:colOff>18626</xdr:colOff>
      <xdr:row>26</xdr:row>
      <xdr:rowOff>0</xdr:rowOff>
    </xdr:from>
    <xdr:ext cx="6450078" cy="3417161"/>
    <xdr:pic>
      <xdr:nvPicPr>
        <xdr:cNvPr id="7" name="value frame PNP" hidden="1">
          <a:extLst>
            <a:ext uri="{FF2B5EF4-FFF2-40B4-BE49-F238E27FC236}">
              <a16:creationId xmlns:a16="http://schemas.microsoft.com/office/drawing/2014/main" id="{F2CDA670-52E6-4ACD-9AFA-C83FE7AF1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9334500"/>
          <a:ext cx="6450078" cy="3417161"/>
        </a:xfrm>
        <a:prstGeom prst="rect">
          <a:avLst/>
        </a:prstGeom>
      </xdr:spPr>
    </xdr:pic>
    <xdr:clientData/>
  </xdr:oneCellAnchor>
  <xdr:oneCellAnchor>
    <xdr:from>
      <xdr:col>0</xdr:col>
      <xdr:colOff>110067</xdr:colOff>
      <xdr:row>26</xdr:row>
      <xdr:rowOff>0</xdr:rowOff>
    </xdr:from>
    <xdr:ext cx="6055204" cy="1548516"/>
    <xdr:pic>
      <xdr:nvPicPr>
        <xdr:cNvPr id="8" name="Picture 7" hidden="1">
          <a:extLst>
            <a:ext uri="{FF2B5EF4-FFF2-40B4-BE49-F238E27FC236}">
              <a16:creationId xmlns:a16="http://schemas.microsoft.com/office/drawing/2014/main" id="{989C9451-B8AA-4B44-AACF-3F2872EE79C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9334500"/>
          <a:ext cx="6055204" cy="1548516"/>
        </a:xfrm>
        <a:prstGeom prst="rect">
          <a:avLst/>
        </a:prstGeom>
      </xdr:spPr>
    </xdr:pic>
    <xdr:clientData/>
  </xdr:oneCellAnchor>
  <xdr:oneCellAnchor>
    <xdr:from>
      <xdr:col>2</xdr:col>
      <xdr:colOff>426720</xdr:colOff>
      <xdr:row>26</xdr:row>
      <xdr:rowOff>0</xdr:rowOff>
    </xdr:from>
    <xdr:ext cx="848412" cy="914400"/>
    <xdr:pic>
      <xdr:nvPicPr>
        <xdr:cNvPr id="9" name="thumbs down, light red" hidden="1">
          <a:extLst>
            <a:ext uri="{FF2B5EF4-FFF2-40B4-BE49-F238E27FC236}">
              <a16:creationId xmlns:a16="http://schemas.microsoft.com/office/drawing/2014/main" id="{8883F759-C193-49E4-B230-7B3B49D477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820" y="9334500"/>
          <a:ext cx="848412" cy="914400"/>
        </a:xfrm>
        <a:prstGeom prst="rect">
          <a:avLst/>
        </a:prstGeom>
      </xdr:spPr>
    </xdr:pic>
    <xdr:clientData/>
  </xdr:oneCellAnchor>
  <xdr:oneCellAnchor>
    <xdr:from>
      <xdr:col>10</xdr:col>
      <xdr:colOff>231420</xdr:colOff>
      <xdr:row>26</xdr:row>
      <xdr:rowOff>0</xdr:rowOff>
    </xdr:from>
    <xdr:ext cx="848412" cy="914400"/>
    <xdr:pic>
      <xdr:nvPicPr>
        <xdr:cNvPr id="10" name="thumbs up, light green" hidden="1">
          <a:extLst>
            <a:ext uri="{FF2B5EF4-FFF2-40B4-BE49-F238E27FC236}">
              <a16:creationId xmlns:a16="http://schemas.microsoft.com/office/drawing/2014/main" id="{08042B5F-EF70-4979-B71D-C51408C50E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765320" y="9334500"/>
          <a:ext cx="848412" cy="914400"/>
        </a:xfrm>
        <a:prstGeom prst="rect">
          <a:avLst/>
        </a:prstGeom>
      </xdr:spPr>
    </xdr:pic>
    <xdr:clientData/>
  </xdr:oneCellAnchor>
  <xdr:oneCellAnchor>
    <xdr:from>
      <xdr:col>1</xdr:col>
      <xdr:colOff>22860</xdr:colOff>
      <xdr:row>26</xdr:row>
      <xdr:rowOff>0</xdr:rowOff>
    </xdr:from>
    <xdr:ext cx="5943600" cy="3110484"/>
    <xdr:pic>
      <xdr:nvPicPr>
        <xdr:cNvPr id="11" name="Picture 10" hidden="1">
          <a:extLst>
            <a:ext uri="{FF2B5EF4-FFF2-40B4-BE49-F238E27FC236}">
              <a16:creationId xmlns:a16="http://schemas.microsoft.com/office/drawing/2014/main" id="{AD36D3D6-A882-473E-82D4-FDE7BE5879E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9334500"/>
          <a:ext cx="5943600" cy="3110484"/>
        </a:xfrm>
        <a:prstGeom prst="rect">
          <a:avLst/>
        </a:prstGeom>
      </xdr:spPr>
    </xdr:pic>
    <xdr:clientData/>
  </xdr:oneCellAnchor>
  <xdr:oneCellAnchor>
    <xdr:from>
      <xdr:col>13</xdr:col>
      <xdr:colOff>18626</xdr:colOff>
      <xdr:row>1</xdr:row>
      <xdr:rowOff>0</xdr:rowOff>
    </xdr:from>
    <xdr:ext cx="6564378" cy="3362551"/>
    <xdr:pic>
      <xdr:nvPicPr>
        <xdr:cNvPr id="12" name="value frame PNP" hidden="1">
          <a:extLst>
            <a:ext uri="{FF2B5EF4-FFF2-40B4-BE49-F238E27FC236}">
              <a16:creationId xmlns:a16="http://schemas.microsoft.com/office/drawing/2014/main" id="{AAEEB1D8-B203-475A-A0BA-80FBE8DFAC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126" y="127000"/>
          <a:ext cx="6564378" cy="3362551"/>
        </a:xfrm>
        <a:prstGeom prst="rect">
          <a:avLst/>
        </a:prstGeom>
      </xdr:spPr>
    </xdr:pic>
    <xdr:clientData/>
  </xdr:oneCellAnchor>
  <xdr:oneCellAnchor>
    <xdr:from>
      <xdr:col>14</xdr:col>
      <xdr:colOff>110067</xdr:colOff>
      <xdr:row>1</xdr:row>
      <xdr:rowOff>0</xdr:rowOff>
    </xdr:from>
    <xdr:ext cx="6184744" cy="1505336"/>
    <xdr:pic>
      <xdr:nvPicPr>
        <xdr:cNvPr id="13" name="Picture 12" hidden="1">
          <a:extLst>
            <a:ext uri="{FF2B5EF4-FFF2-40B4-BE49-F238E27FC236}">
              <a16:creationId xmlns:a16="http://schemas.microsoft.com/office/drawing/2014/main" id="{84444A8A-3F37-4E19-8C23-7D5202BEA42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10867" y="127000"/>
          <a:ext cx="6184744" cy="1505336"/>
        </a:xfrm>
        <a:prstGeom prst="rect">
          <a:avLst/>
        </a:prstGeom>
      </xdr:spPr>
    </xdr:pic>
    <xdr:clientData/>
  </xdr:oneCellAnchor>
  <xdr:oneCellAnchor>
    <xdr:from>
      <xdr:col>24</xdr:col>
      <xdr:colOff>231420</xdr:colOff>
      <xdr:row>1</xdr:row>
      <xdr:rowOff>0</xdr:rowOff>
    </xdr:from>
    <xdr:ext cx="871272" cy="927100"/>
    <xdr:pic>
      <xdr:nvPicPr>
        <xdr:cNvPr id="14" name="thumbs up, light green" hidden="1">
          <a:extLst>
            <a:ext uri="{FF2B5EF4-FFF2-40B4-BE49-F238E27FC236}">
              <a16:creationId xmlns:a16="http://schemas.microsoft.com/office/drawing/2014/main" id="{A2C51DCF-6B4A-4330-A7D9-EEDD0F56AF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775720" y="127000"/>
          <a:ext cx="871272" cy="927100"/>
        </a:xfrm>
        <a:prstGeom prst="rect">
          <a:avLst/>
        </a:prstGeom>
      </xdr:spPr>
    </xdr:pic>
    <xdr:clientData/>
  </xdr:oneCellAnchor>
  <xdr:oneCellAnchor>
    <xdr:from>
      <xdr:col>15</xdr:col>
      <xdr:colOff>22860</xdr:colOff>
      <xdr:row>1</xdr:row>
      <xdr:rowOff>0</xdr:rowOff>
    </xdr:from>
    <xdr:ext cx="5943600" cy="3110484"/>
    <xdr:pic>
      <xdr:nvPicPr>
        <xdr:cNvPr id="15" name="Picture 14" hidden="1">
          <a:extLst>
            <a:ext uri="{FF2B5EF4-FFF2-40B4-BE49-F238E27FC236}">
              <a16:creationId xmlns:a16="http://schemas.microsoft.com/office/drawing/2014/main" id="{243BB8D7-5A9B-46B1-A360-DB22876AD39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938010" y="127000"/>
          <a:ext cx="5943600" cy="3110484"/>
        </a:xfrm>
        <a:prstGeom prst="rect">
          <a:avLst/>
        </a:prstGeom>
      </xdr:spPr>
    </xdr:pic>
    <xdr:clientData/>
  </xdr:oneCellAnchor>
  <xdr:twoCellAnchor>
    <xdr:from>
      <xdr:col>2</xdr:col>
      <xdr:colOff>184150</xdr:colOff>
      <xdr:row>331</xdr:row>
      <xdr:rowOff>88900</xdr:rowOff>
    </xdr:from>
    <xdr:to>
      <xdr:col>17</xdr:col>
      <xdr:colOff>419100</xdr:colOff>
      <xdr:row>332</xdr:row>
      <xdr:rowOff>0</xdr:rowOff>
    </xdr:to>
    <xdr:sp macro="" textlink="">
      <xdr:nvSpPr>
        <xdr:cNvPr id="16" name="#1" hidden="1">
          <a:extLst>
            <a:ext uri="{FF2B5EF4-FFF2-40B4-BE49-F238E27FC236}">
              <a16:creationId xmlns:a16="http://schemas.microsoft.com/office/drawing/2014/main" id="{0F0D0F19-B629-4D00-843B-42479FB7B512}"/>
            </a:ext>
          </a:extLst>
        </xdr:cNvPr>
        <xdr:cNvSpPr txBox="1"/>
      </xdr:nvSpPr>
      <xdr:spPr>
        <a:xfrm>
          <a:off x="603250" y="59740800"/>
          <a:ext cx="7759700" cy="7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a:t>
          </a:r>
          <a:r>
            <a:rPr lang="en-US" sz="1100" baseline="0"/>
            <a:t> you are of legal age, you can launch your own wellness campaign. Unless prohibited by some other barrier.</a:t>
          </a:r>
        </a:p>
        <a:p>
          <a:r>
            <a:rPr lang="en-US" sz="1100" baseline="0"/>
            <a:t>Since you are not yet of legal age, you can only launch a wellness campaign with a legal guardian as your proxy. </a:t>
          </a:r>
        </a:p>
        <a:p>
          <a:r>
            <a:rPr lang="en-US" sz="1100" baseline="0"/>
            <a:t>Answer #1 above to self-assess how well you meet our criteria for launching your own wellness campaign.</a:t>
          </a:r>
          <a:endParaRPr lang="en-US" sz="1100"/>
        </a:p>
      </xdr:txBody>
    </xdr:sp>
    <xdr:clientData/>
  </xdr:twoCellAnchor>
  <xdr:oneCellAnchor>
    <xdr:from>
      <xdr:col>15</xdr:col>
      <xdr:colOff>165100</xdr:colOff>
      <xdr:row>1</xdr:row>
      <xdr:rowOff>0</xdr:rowOff>
    </xdr:from>
    <xdr:ext cx="2377447" cy="5852160"/>
    <xdr:pic>
      <xdr:nvPicPr>
        <xdr:cNvPr id="17" name="INVITATON meme" hidden="1">
          <a:extLst>
            <a:ext uri="{FF2B5EF4-FFF2-40B4-BE49-F238E27FC236}">
              <a16:creationId xmlns:a16="http://schemas.microsoft.com/office/drawing/2014/main" id="{8BB966FA-7325-4F29-809C-1277BB2E67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0250" y="127000"/>
          <a:ext cx="2377447" cy="585216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nankelogyfoundation.org/forum/questions-answers" TargetMode="External"/><Relationship Id="rId7" Type="http://schemas.openxmlformats.org/officeDocument/2006/relationships/drawing" Target="../drawings/drawing1.xml"/><Relationship Id="rId2" Type="http://schemas.openxmlformats.org/officeDocument/2006/relationships/hyperlink" Target="https://www.anankelogyfoundation.org/" TargetMode="External"/><Relationship Id="rId1" Type="http://schemas.openxmlformats.org/officeDocument/2006/relationships/hyperlink" Target="https://www.anankelogyfoundation.org/need-response/wellness-campaign" TargetMode="External"/><Relationship Id="rId6" Type="http://schemas.openxmlformats.org/officeDocument/2006/relationships/printerSettings" Target="../printerSettings/printerSettings1.bin"/><Relationship Id="rId5" Type="http://schemas.openxmlformats.org/officeDocument/2006/relationships/hyperlink" Target="https://www.anankelogyfoundation.org/forum/questions-answers" TargetMode="External"/><Relationship Id="rId4" Type="http://schemas.openxmlformats.org/officeDocument/2006/relationships/hyperlink" Target="https://www.anankelogyfoundation.org/need-response/wellness-campaign"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nankelogyfoundation.org/need-response/wellness-campaig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nankelogyfoundation.org/need-response/follow"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FBFC8-061C-42E8-8D4D-56387E2DE2B0}">
  <dimension ref="A1:ED1145"/>
  <sheetViews>
    <sheetView tabSelected="1" zoomScaleNormal="100" zoomScaleSheetLayoutView="100" workbookViewId="0">
      <selection activeCell="A7" sqref="A1:N7"/>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63" width="8.90625" style="1" customWidth="1"/>
    <col min="64" max="74" width="4.6328125" style="1" customWidth="1"/>
    <col min="75" max="123" width="8.90625" style="1" customWidth="1"/>
    <col min="124" max="16384" width="8.90625" style="1"/>
  </cols>
  <sheetData>
    <row r="1" spans="1:30" ht="35" customHeight="1" x14ac:dyDescent="0.3">
      <c r="A1" s="238"/>
      <c r="B1" s="239"/>
      <c r="C1" s="239"/>
      <c r="D1" s="239"/>
      <c r="E1" s="239"/>
      <c r="F1" s="239"/>
      <c r="G1" s="239"/>
      <c r="H1" s="239"/>
      <c r="I1" s="239"/>
      <c r="J1" s="239"/>
      <c r="K1" s="239"/>
      <c r="L1" s="239"/>
      <c r="M1" s="239"/>
      <c r="N1" s="240"/>
    </row>
    <row r="2" spans="1:30" ht="35" customHeight="1" x14ac:dyDescent="0.3">
      <c r="A2" s="241" t="s">
        <v>20</v>
      </c>
      <c r="B2" s="242"/>
      <c r="C2" s="242"/>
      <c r="D2" s="242"/>
      <c r="E2" s="242"/>
      <c r="F2" s="242"/>
      <c r="G2" s="242"/>
      <c r="H2" s="242"/>
      <c r="I2" s="242"/>
      <c r="J2" s="242"/>
      <c r="K2" s="242"/>
      <c r="L2" s="242"/>
      <c r="M2" s="242"/>
      <c r="N2" s="243"/>
    </row>
    <row r="3" spans="1:30" ht="35" customHeight="1" x14ac:dyDescent="0.3">
      <c r="A3" s="241"/>
      <c r="B3" s="242"/>
      <c r="C3" s="242"/>
      <c r="D3" s="242"/>
      <c r="E3" s="242"/>
      <c r="F3" s="242"/>
      <c r="G3" s="242"/>
      <c r="H3" s="242"/>
      <c r="I3" s="242"/>
      <c r="J3" s="242"/>
      <c r="K3" s="242"/>
      <c r="L3" s="242"/>
      <c r="M3" s="242"/>
      <c r="N3" s="243"/>
    </row>
    <row r="4" spans="1:30" ht="50" customHeight="1" x14ac:dyDescent="0.3">
      <c r="A4" s="32"/>
      <c r="B4" s="244" t="s">
        <v>130</v>
      </c>
      <c r="C4" s="245"/>
      <c r="D4" s="245"/>
      <c r="E4" s="245"/>
      <c r="F4" s="245"/>
      <c r="G4" s="245"/>
      <c r="H4" s="245"/>
      <c r="I4" s="245"/>
      <c r="J4" s="245"/>
      <c r="K4" s="245"/>
      <c r="L4" s="245"/>
      <c r="M4" s="245"/>
      <c r="N4" s="31"/>
    </row>
    <row r="5" spans="1:30" ht="20" customHeight="1" x14ac:dyDescent="0.3">
      <c r="A5" s="32"/>
      <c r="B5" s="62"/>
      <c r="C5" s="63"/>
      <c r="D5" s="137" t="s">
        <v>267</v>
      </c>
      <c r="E5" s="278"/>
      <c r="F5" s="278"/>
      <c r="G5" s="278"/>
      <c r="H5" s="278"/>
      <c r="I5" s="278"/>
      <c r="J5" s="278"/>
      <c r="K5" s="278"/>
      <c r="L5" s="278"/>
      <c r="M5" s="63"/>
      <c r="N5" s="31"/>
    </row>
    <row r="6" spans="1:30" s="30" customFormat="1" ht="100" customHeight="1" x14ac:dyDescent="0.3">
      <c r="A6" s="246" t="s">
        <v>131</v>
      </c>
      <c r="B6" s="247"/>
      <c r="C6" s="247"/>
      <c r="D6" s="247"/>
      <c r="E6" s="247"/>
      <c r="F6" s="247"/>
      <c r="G6" s="247"/>
      <c r="H6" s="247"/>
      <c r="I6" s="247"/>
      <c r="J6" s="247"/>
      <c r="K6" s="247"/>
      <c r="L6" s="247"/>
      <c r="M6" s="247"/>
      <c r="N6" s="248"/>
      <c r="Q6" s="1"/>
      <c r="R6" s="1"/>
      <c r="S6" s="1"/>
      <c r="T6" s="1"/>
      <c r="U6" s="1"/>
      <c r="V6" s="1"/>
      <c r="W6" s="1"/>
      <c r="X6" s="1"/>
      <c r="Y6" s="1"/>
      <c r="Z6" s="1"/>
      <c r="AA6" s="1"/>
      <c r="AB6" s="1"/>
      <c r="AC6" s="1"/>
      <c r="AD6" s="1"/>
    </row>
    <row r="7" spans="1:30" ht="14" customHeight="1" x14ac:dyDescent="0.3">
      <c r="A7" s="249"/>
      <c r="B7" s="250"/>
      <c r="C7" s="250"/>
      <c r="D7" s="250"/>
      <c r="E7" s="250"/>
      <c r="F7" s="250"/>
      <c r="G7" s="250"/>
      <c r="H7" s="250"/>
      <c r="I7" s="250"/>
      <c r="J7" s="250"/>
      <c r="K7" s="250"/>
      <c r="L7" s="250"/>
      <c r="M7" s="250"/>
      <c r="N7" s="251"/>
    </row>
    <row r="8" spans="1:30" ht="14" customHeight="1" x14ac:dyDescent="0.3">
      <c r="A8" s="21"/>
      <c r="B8" s="25"/>
      <c r="C8" s="25"/>
      <c r="D8" s="25"/>
      <c r="E8" s="25"/>
      <c r="F8" s="25"/>
      <c r="G8" s="25"/>
      <c r="H8" s="26"/>
      <c r="I8" s="25"/>
      <c r="J8" s="25"/>
      <c r="K8" s="25"/>
      <c r="L8" s="25"/>
      <c r="M8" s="25"/>
      <c r="N8" s="20"/>
    </row>
    <row r="9" spans="1:30" ht="20" customHeight="1" x14ac:dyDescent="0.3">
      <c r="A9" s="21"/>
      <c r="B9" s="252" t="s">
        <v>157</v>
      </c>
      <c r="C9" s="252"/>
      <c r="D9" s="252"/>
      <c r="E9" s="252"/>
      <c r="F9" s="252"/>
      <c r="G9" s="252"/>
      <c r="H9" s="252"/>
      <c r="I9" s="252"/>
      <c r="J9" s="252"/>
      <c r="K9" s="252"/>
      <c r="L9" s="252"/>
      <c r="M9" s="252"/>
      <c r="N9" s="20"/>
    </row>
    <row r="10" spans="1:30" ht="20" customHeight="1" x14ac:dyDescent="0.3">
      <c r="A10" s="21"/>
      <c r="B10" s="25"/>
      <c r="C10" s="25"/>
      <c r="D10" s="25"/>
      <c r="E10" s="25"/>
      <c r="F10" s="25"/>
      <c r="G10" s="25"/>
      <c r="H10" s="26"/>
      <c r="I10" s="25"/>
      <c r="J10" s="25"/>
      <c r="K10" s="25"/>
      <c r="L10" s="25"/>
      <c r="M10" s="25"/>
      <c r="N10" s="29"/>
    </row>
    <row r="11" spans="1:30" ht="20" customHeight="1" x14ac:dyDescent="0.3">
      <c r="A11" s="21"/>
      <c r="B11" s="25"/>
      <c r="C11" s="25"/>
      <c r="D11" s="25"/>
      <c r="E11" s="25"/>
      <c r="F11" s="25"/>
      <c r="G11" s="25"/>
      <c r="H11" s="26"/>
      <c r="I11" s="25"/>
      <c r="J11" s="25"/>
      <c r="K11" s="25"/>
      <c r="L11" s="25"/>
      <c r="M11" s="25"/>
      <c r="N11" s="29"/>
    </row>
    <row r="12" spans="1:30" ht="20" customHeight="1" x14ac:dyDescent="0.3">
      <c r="A12" s="21"/>
      <c r="B12" s="25"/>
      <c r="C12" s="25"/>
      <c r="D12" s="25"/>
      <c r="E12" s="25"/>
      <c r="F12" s="25"/>
      <c r="G12" s="25"/>
      <c r="H12" s="26"/>
      <c r="I12" s="25"/>
      <c r="J12" s="25"/>
      <c r="K12" s="25"/>
      <c r="L12" s="25"/>
      <c r="M12" s="25"/>
      <c r="N12" s="20"/>
    </row>
    <row r="13" spans="1:30" ht="20" customHeight="1" x14ac:dyDescent="0.3">
      <c r="A13" s="21"/>
      <c r="B13" s="25"/>
      <c r="C13" s="25"/>
      <c r="D13" s="25"/>
      <c r="E13" s="25"/>
      <c r="F13" s="25"/>
      <c r="G13" s="25"/>
      <c r="H13" s="26"/>
      <c r="I13" s="25"/>
      <c r="J13" s="25"/>
      <c r="K13" s="25"/>
      <c r="L13" s="25"/>
      <c r="M13" s="25"/>
      <c r="N13" s="20"/>
    </row>
    <row r="14" spans="1:30" ht="20" customHeight="1" x14ac:dyDescent="0.3">
      <c r="A14" s="21"/>
      <c r="B14" s="25"/>
      <c r="C14" s="25"/>
      <c r="D14" s="25"/>
      <c r="E14" s="25"/>
      <c r="F14" s="25"/>
      <c r="G14" s="25"/>
      <c r="H14" s="26"/>
      <c r="I14" s="25"/>
      <c r="J14" s="25"/>
      <c r="K14" s="25"/>
      <c r="L14" s="25"/>
      <c r="M14" s="25"/>
      <c r="N14" s="20"/>
    </row>
    <row r="15" spans="1:30" ht="20" customHeight="1" x14ac:dyDescent="0.3">
      <c r="A15" s="21"/>
      <c r="B15" s="25"/>
      <c r="C15" s="25"/>
      <c r="D15" s="25"/>
      <c r="E15" s="25"/>
      <c r="F15" s="25"/>
      <c r="G15" s="25"/>
      <c r="H15" s="26"/>
      <c r="I15" s="25"/>
      <c r="J15" s="25"/>
      <c r="K15" s="25"/>
      <c r="L15" s="25"/>
      <c r="M15" s="25"/>
      <c r="N15" s="20"/>
    </row>
    <row r="16" spans="1:30" ht="20" customHeight="1" x14ac:dyDescent="0.3">
      <c r="A16" s="21"/>
      <c r="B16" s="25"/>
      <c r="C16" s="25"/>
      <c r="D16" s="25"/>
      <c r="E16" s="25"/>
      <c r="F16" s="25"/>
      <c r="G16" s="25"/>
      <c r="H16" s="26"/>
      <c r="I16" s="25"/>
      <c r="J16" s="25"/>
      <c r="K16" s="25"/>
      <c r="L16" s="25"/>
      <c r="M16" s="25"/>
      <c r="N16" s="20"/>
    </row>
    <row r="17" spans="1:14" ht="20" customHeight="1" x14ac:dyDescent="0.3">
      <c r="A17" s="21"/>
      <c r="B17" s="25"/>
      <c r="C17" s="25"/>
      <c r="D17" s="25"/>
      <c r="E17" s="25"/>
      <c r="F17" s="25"/>
      <c r="G17" s="25"/>
      <c r="H17" s="26"/>
      <c r="I17" s="25"/>
      <c r="J17" s="25"/>
      <c r="K17" s="25"/>
      <c r="L17" s="25"/>
      <c r="M17" s="25"/>
      <c r="N17" s="20"/>
    </row>
    <row r="18" spans="1:14" ht="20" customHeight="1" x14ac:dyDescent="0.3">
      <c r="A18" s="21"/>
      <c r="B18" s="25"/>
      <c r="C18" s="25"/>
      <c r="D18" s="25"/>
      <c r="E18" s="25"/>
      <c r="F18" s="25"/>
      <c r="G18" s="25"/>
      <c r="H18" s="26"/>
      <c r="I18" s="25"/>
      <c r="J18" s="25"/>
      <c r="K18" s="25"/>
      <c r="L18" s="25"/>
      <c r="M18" s="25"/>
      <c r="N18" s="20"/>
    </row>
    <row r="19" spans="1:14" ht="20" customHeight="1" x14ac:dyDescent="0.3">
      <c r="A19" s="21"/>
      <c r="B19" s="25"/>
      <c r="C19" s="25"/>
      <c r="D19" s="25"/>
      <c r="E19" s="25"/>
      <c r="F19" s="25"/>
      <c r="G19" s="25"/>
      <c r="H19" s="26"/>
      <c r="I19" s="25"/>
      <c r="J19" s="25"/>
      <c r="K19" s="25"/>
      <c r="L19" s="25"/>
      <c r="M19" s="25"/>
      <c r="N19" s="20"/>
    </row>
    <row r="20" spans="1:14" ht="20" customHeight="1" x14ac:dyDescent="0.3">
      <c r="A20" s="21"/>
      <c r="B20" s="25"/>
      <c r="C20" s="25"/>
      <c r="D20" s="25"/>
      <c r="E20" s="25"/>
      <c r="F20" s="25"/>
      <c r="G20" s="25"/>
      <c r="H20" s="26"/>
      <c r="I20" s="25"/>
      <c r="J20" s="25"/>
      <c r="K20" s="25"/>
      <c r="L20" s="25"/>
      <c r="M20" s="25"/>
      <c r="N20" s="20"/>
    </row>
    <row r="21" spans="1:14" ht="20" customHeight="1" x14ac:dyDescent="0.3">
      <c r="A21" s="21"/>
      <c r="B21" s="25"/>
      <c r="C21" s="25"/>
      <c r="D21" s="25"/>
      <c r="E21" s="25"/>
      <c r="F21" s="25"/>
      <c r="G21" s="25"/>
      <c r="H21" s="26"/>
      <c r="I21" s="25"/>
      <c r="J21" s="25"/>
      <c r="K21" s="25"/>
      <c r="L21" s="25"/>
      <c r="M21" s="25"/>
      <c r="N21" s="20"/>
    </row>
    <row r="22" spans="1:14" ht="20" customHeight="1" x14ac:dyDescent="0.3">
      <c r="A22" s="21"/>
      <c r="B22" s="25"/>
      <c r="C22" s="25"/>
      <c r="D22" s="25"/>
      <c r="E22" s="25"/>
      <c r="F22" s="25"/>
      <c r="G22" s="25"/>
      <c r="H22" s="26"/>
      <c r="I22" s="25"/>
      <c r="J22" s="25"/>
      <c r="K22" s="25"/>
      <c r="L22" s="25"/>
      <c r="M22" s="25"/>
      <c r="N22" s="20"/>
    </row>
    <row r="23" spans="1:14" ht="20" customHeight="1" x14ac:dyDescent="0.3">
      <c r="A23" s="21"/>
      <c r="B23" s="25"/>
      <c r="C23" s="25"/>
      <c r="D23" s="25"/>
      <c r="E23" s="25"/>
      <c r="F23" s="25"/>
      <c r="G23" s="25"/>
      <c r="H23" s="26"/>
      <c r="I23" s="25"/>
      <c r="J23" s="25"/>
      <c r="K23" s="25"/>
      <c r="L23" s="25"/>
      <c r="M23" s="25"/>
      <c r="N23" s="20"/>
    </row>
    <row r="24" spans="1:14" ht="20" customHeight="1" x14ac:dyDescent="0.3">
      <c r="A24" s="21"/>
      <c r="B24" s="25"/>
      <c r="C24" s="25"/>
      <c r="D24" s="25"/>
      <c r="E24" s="25"/>
      <c r="F24" s="25"/>
      <c r="G24" s="25"/>
      <c r="H24" s="26"/>
      <c r="I24" s="25"/>
      <c r="J24" s="25"/>
      <c r="K24" s="25"/>
      <c r="L24" s="25"/>
      <c r="M24" s="25"/>
      <c r="N24" s="20"/>
    </row>
    <row r="25" spans="1:14" ht="20" customHeight="1" x14ac:dyDescent="0.3">
      <c r="A25" s="253"/>
      <c r="B25" s="254"/>
      <c r="C25" s="254"/>
      <c r="D25" s="254"/>
      <c r="E25" s="254"/>
      <c r="F25" s="254"/>
      <c r="G25" s="254"/>
      <c r="H25" s="254"/>
      <c r="I25" s="254"/>
      <c r="J25" s="254"/>
      <c r="K25" s="254"/>
      <c r="L25" s="254"/>
      <c r="M25" s="254"/>
      <c r="N25" s="255"/>
    </row>
    <row r="26" spans="1:14" ht="20" customHeight="1" x14ac:dyDescent="0.3">
      <c r="A26" s="19"/>
      <c r="B26" s="27"/>
      <c r="C26" s="27"/>
      <c r="D26" s="27"/>
      <c r="E26" s="27"/>
      <c r="F26" s="27"/>
      <c r="G26" s="27"/>
      <c r="H26" s="28"/>
      <c r="I26" s="27"/>
      <c r="J26" s="27"/>
      <c r="K26" s="27"/>
      <c r="L26" s="27"/>
      <c r="M26" s="27"/>
      <c r="N26" s="16"/>
    </row>
    <row r="27" spans="1:14" ht="60" customHeight="1" x14ac:dyDescent="0.3">
      <c r="A27" s="47"/>
      <c r="B27" s="181" t="s">
        <v>161</v>
      </c>
      <c r="C27" s="181"/>
      <c r="D27" s="181"/>
      <c r="E27" s="181"/>
      <c r="F27" s="181"/>
      <c r="G27" s="181"/>
      <c r="H27" s="181"/>
      <c r="I27" s="181"/>
      <c r="J27" s="181"/>
      <c r="K27" s="181"/>
      <c r="L27" s="181"/>
      <c r="M27" s="181"/>
      <c r="N27" s="48"/>
    </row>
    <row r="28" spans="1:14" ht="20" customHeight="1" x14ac:dyDescent="0.3">
      <c r="A28" s="21"/>
      <c r="B28" s="25"/>
      <c r="C28" s="25"/>
      <c r="D28" s="25"/>
      <c r="E28" s="25"/>
      <c r="F28" s="25"/>
      <c r="G28" s="25"/>
      <c r="H28" s="26"/>
      <c r="I28" s="25"/>
      <c r="J28" s="25"/>
      <c r="K28" s="25"/>
      <c r="L28" s="25"/>
      <c r="M28" s="25"/>
      <c r="N28" s="20"/>
    </row>
    <row r="29" spans="1:14" ht="45" customHeight="1" x14ac:dyDescent="0.3">
      <c r="A29" s="21"/>
      <c r="B29" s="280" t="s">
        <v>142</v>
      </c>
      <c r="C29" s="280"/>
      <c r="D29" s="280"/>
      <c r="E29" s="280"/>
      <c r="F29" s="280"/>
      <c r="G29" s="280"/>
      <c r="H29" s="280"/>
      <c r="I29" s="280"/>
      <c r="J29" s="280"/>
      <c r="K29" s="280"/>
      <c r="L29" s="280"/>
      <c r="M29" s="280"/>
      <c r="N29" s="20"/>
    </row>
    <row r="30" spans="1:14" ht="20" customHeight="1" x14ac:dyDescent="0.3">
      <c r="A30" s="21"/>
      <c r="B30" s="25"/>
      <c r="C30" s="25"/>
      <c r="D30" s="25"/>
      <c r="E30" s="25"/>
      <c r="F30" s="25"/>
      <c r="G30" s="25"/>
      <c r="H30" s="26"/>
      <c r="I30" s="25"/>
      <c r="J30" s="25"/>
      <c r="K30" s="25"/>
      <c r="L30" s="25"/>
      <c r="M30" s="25"/>
      <c r="N30" s="20"/>
    </row>
    <row r="31" spans="1:14" ht="60" customHeight="1" x14ac:dyDescent="0.3">
      <c r="A31" s="21"/>
      <c r="B31" s="261" t="s">
        <v>136</v>
      </c>
      <c r="C31" s="261"/>
      <c r="D31" s="261"/>
      <c r="E31" s="261"/>
      <c r="F31" s="261"/>
      <c r="G31" s="261"/>
      <c r="H31" s="26"/>
      <c r="I31" s="25"/>
      <c r="J31" s="25"/>
      <c r="K31" s="25"/>
      <c r="L31" s="25"/>
      <c r="M31" s="25"/>
      <c r="N31" s="20"/>
    </row>
    <row r="32" spans="1:14" ht="60" customHeight="1" x14ac:dyDescent="0.3">
      <c r="A32" s="21"/>
      <c r="B32" s="261" t="s">
        <v>137</v>
      </c>
      <c r="C32" s="261"/>
      <c r="D32" s="261"/>
      <c r="E32" s="261"/>
      <c r="F32" s="261"/>
      <c r="G32" s="261"/>
      <c r="H32" s="26"/>
      <c r="I32" s="25"/>
      <c r="J32" s="25"/>
      <c r="K32" s="25"/>
      <c r="L32" s="25"/>
      <c r="M32" s="25"/>
      <c r="N32" s="20"/>
    </row>
    <row r="33" spans="1:14" ht="60" customHeight="1" x14ac:dyDescent="0.3">
      <c r="A33" s="21"/>
      <c r="B33" s="261" t="s">
        <v>138</v>
      </c>
      <c r="C33" s="261"/>
      <c r="D33" s="261"/>
      <c r="E33" s="261"/>
      <c r="F33" s="261"/>
      <c r="G33" s="261"/>
      <c r="H33" s="26"/>
      <c r="I33" s="25"/>
      <c r="J33" s="25"/>
      <c r="K33" s="25"/>
      <c r="L33" s="25"/>
      <c r="M33" s="25"/>
      <c r="N33" s="20"/>
    </row>
    <row r="34" spans="1:14" ht="60" customHeight="1" x14ac:dyDescent="0.3">
      <c r="A34" s="21"/>
      <c r="B34" s="261" t="s">
        <v>139</v>
      </c>
      <c r="C34" s="261"/>
      <c r="D34" s="261"/>
      <c r="E34" s="261"/>
      <c r="F34" s="261"/>
      <c r="G34" s="261"/>
      <c r="H34" s="26"/>
      <c r="I34" s="25"/>
      <c r="J34" s="25"/>
      <c r="K34" s="25"/>
      <c r="L34" s="25"/>
      <c r="M34" s="25"/>
      <c r="N34" s="20"/>
    </row>
    <row r="35" spans="1:14" ht="20" customHeight="1" x14ac:dyDescent="0.3">
      <c r="A35" s="21"/>
      <c r="B35" s="25"/>
      <c r="C35" s="25"/>
      <c r="D35" s="25"/>
      <c r="E35" s="25"/>
      <c r="F35" s="25"/>
      <c r="G35" s="25"/>
      <c r="H35" s="26"/>
      <c r="I35" s="25"/>
      <c r="J35" s="25"/>
      <c r="K35" s="25"/>
      <c r="L35" s="25"/>
      <c r="M35" s="25"/>
      <c r="N35" s="20"/>
    </row>
    <row r="36" spans="1:14" ht="20" customHeight="1" x14ac:dyDescent="0.3">
      <c r="A36" s="21"/>
      <c r="B36" s="25"/>
      <c r="C36" s="25"/>
      <c r="D36" s="25"/>
      <c r="E36" s="25"/>
      <c r="F36" s="25"/>
      <c r="G36" s="25"/>
      <c r="H36" s="26"/>
      <c r="I36" s="25"/>
      <c r="J36" s="25"/>
      <c r="K36" s="25"/>
      <c r="L36" s="25"/>
      <c r="M36" s="25"/>
      <c r="N36" s="20"/>
    </row>
    <row r="37" spans="1:14" ht="20" customHeight="1" x14ac:dyDescent="0.3">
      <c r="A37" s="21"/>
      <c r="B37" s="25"/>
      <c r="C37" s="25"/>
      <c r="D37" s="25"/>
      <c r="E37" s="25"/>
      <c r="F37" s="25"/>
      <c r="G37" s="25"/>
      <c r="H37" s="26"/>
      <c r="I37" s="25"/>
      <c r="J37" s="25"/>
      <c r="K37" s="25"/>
      <c r="L37" s="25"/>
      <c r="M37" s="25"/>
      <c r="N37" s="20"/>
    </row>
    <row r="38" spans="1:14" ht="20" customHeight="1" x14ac:dyDescent="0.3">
      <c r="A38" s="21"/>
      <c r="B38" s="25"/>
      <c r="C38" s="25"/>
      <c r="D38" s="25"/>
      <c r="E38" s="25"/>
      <c r="F38" s="25"/>
      <c r="G38" s="25"/>
      <c r="H38" s="26"/>
      <c r="I38" s="25"/>
      <c r="J38" s="25"/>
      <c r="K38" s="25"/>
      <c r="L38" s="25"/>
      <c r="M38" s="25"/>
      <c r="N38" s="20"/>
    </row>
    <row r="39" spans="1:14" ht="20" customHeight="1" x14ac:dyDescent="0.3">
      <c r="A39" s="21"/>
      <c r="B39" s="25"/>
      <c r="C39" s="25"/>
      <c r="D39" s="25"/>
      <c r="E39" s="25"/>
      <c r="F39" s="25"/>
      <c r="G39" s="25"/>
      <c r="H39" s="26"/>
      <c r="I39" s="25"/>
      <c r="J39" s="25"/>
      <c r="K39" s="25"/>
      <c r="L39" s="25"/>
      <c r="M39" s="25"/>
      <c r="N39" s="20"/>
    </row>
    <row r="40" spans="1:14" ht="20" customHeight="1" x14ac:dyDescent="0.3">
      <c r="A40" s="21"/>
      <c r="B40" s="25"/>
      <c r="C40" s="25"/>
      <c r="D40" s="25"/>
      <c r="E40" s="25"/>
      <c r="F40" s="25"/>
      <c r="G40" s="25"/>
      <c r="H40" s="26"/>
      <c r="I40" s="25"/>
      <c r="J40" s="25"/>
      <c r="K40" s="25"/>
      <c r="L40" s="25"/>
      <c r="M40" s="25"/>
      <c r="N40" s="20"/>
    </row>
    <row r="41" spans="1:14" ht="20" customHeight="1" x14ac:dyDescent="0.3">
      <c r="A41" s="21"/>
      <c r="B41" s="25"/>
      <c r="C41" s="25"/>
      <c r="D41" s="25"/>
      <c r="E41" s="25"/>
      <c r="F41" s="25"/>
      <c r="G41" s="25"/>
      <c r="H41" s="26"/>
      <c r="I41" s="25"/>
      <c r="J41" s="25"/>
      <c r="K41" s="25"/>
      <c r="L41" s="25"/>
      <c r="M41" s="25"/>
      <c r="N41" s="20"/>
    </row>
    <row r="42" spans="1:14" ht="20" customHeight="1" x14ac:dyDescent="0.3">
      <c r="A42" s="21"/>
      <c r="B42" s="25"/>
      <c r="C42" s="25"/>
      <c r="D42" s="25"/>
      <c r="E42" s="25"/>
      <c r="F42" s="25"/>
      <c r="G42" s="25"/>
      <c r="H42" s="26"/>
      <c r="I42" s="25"/>
      <c r="J42" s="25"/>
      <c r="K42" s="25"/>
      <c r="L42" s="25"/>
      <c r="M42" s="25"/>
      <c r="N42" s="20"/>
    </row>
    <row r="43" spans="1:14" ht="20" customHeight="1" x14ac:dyDescent="0.3">
      <c r="A43" s="21"/>
      <c r="B43" s="25"/>
      <c r="C43" s="25"/>
      <c r="D43" s="25"/>
      <c r="E43" s="25"/>
      <c r="F43" s="25"/>
      <c r="G43" s="25"/>
      <c r="H43" s="26"/>
      <c r="I43" s="25"/>
      <c r="J43" s="25"/>
      <c r="K43" s="25"/>
      <c r="L43" s="25"/>
      <c r="M43" s="25"/>
      <c r="N43" s="20"/>
    </row>
    <row r="44" spans="1:14" ht="20" customHeight="1" x14ac:dyDescent="0.3">
      <c r="A44" s="21"/>
      <c r="B44" s="25"/>
      <c r="C44" s="25"/>
      <c r="D44" s="25"/>
      <c r="E44" s="25"/>
      <c r="F44" s="25"/>
      <c r="G44" s="25"/>
      <c r="H44" s="26"/>
      <c r="I44" s="25"/>
      <c r="J44" s="25"/>
      <c r="K44" s="25"/>
      <c r="L44" s="25"/>
      <c r="M44" s="25"/>
      <c r="N44" s="20"/>
    </row>
    <row r="45" spans="1:14" ht="20" customHeight="1" x14ac:dyDescent="0.3">
      <c r="A45" s="21"/>
      <c r="B45" s="25"/>
      <c r="C45" s="25"/>
      <c r="D45" s="25"/>
      <c r="E45" s="25"/>
      <c r="F45" s="25"/>
      <c r="G45" s="25"/>
      <c r="H45" s="26"/>
      <c r="I45" s="25"/>
      <c r="J45" s="25"/>
      <c r="K45" s="25"/>
      <c r="L45" s="25"/>
      <c r="M45" s="25"/>
      <c r="N45" s="20"/>
    </row>
    <row r="46" spans="1:14" ht="20" customHeight="1" x14ac:dyDescent="0.3">
      <c r="A46" s="21"/>
      <c r="B46" s="25"/>
      <c r="C46" s="25"/>
      <c r="D46" s="25"/>
      <c r="E46" s="25"/>
      <c r="F46" s="25"/>
      <c r="G46" s="25"/>
      <c r="H46" s="26"/>
      <c r="I46" s="25"/>
      <c r="J46" s="25"/>
      <c r="K46" s="25"/>
      <c r="L46" s="25"/>
      <c r="M46" s="25"/>
      <c r="N46" s="20"/>
    </row>
    <row r="47" spans="1:14" ht="20" customHeight="1" x14ac:dyDescent="0.3">
      <c r="A47" s="21"/>
      <c r="B47" s="25"/>
      <c r="C47" s="25"/>
      <c r="D47" s="25"/>
      <c r="E47" s="25"/>
      <c r="F47" s="25"/>
      <c r="G47" s="25"/>
      <c r="H47" s="26"/>
      <c r="I47" s="25"/>
      <c r="J47" s="25"/>
      <c r="K47" s="25"/>
      <c r="L47" s="25"/>
      <c r="M47" s="25"/>
      <c r="N47" s="20"/>
    </row>
    <row r="48" spans="1:14" ht="20" customHeight="1" x14ac:dyDescent="0.3">
      <c r="A48" s="21"/>
      <c r="B48" s="25"/>
      <c r="C48" s="25"/>
      <c r="D48" s="25"/>
      <c r="E48" s="25"/>
      <c r="F48" s="25"/>
      <c r="G48" s="25"/>
      <c r="H48" s="26"/>
      <c r="I48" s="25"/>
      <c r="J48" s="25"/>
      <c r="K48" s="25"/>
      <c r="L48" s="25"/>
      <c r="M48" s="25"/>
      <c r="N48" s="20"/>
    </row>
    <row r="49" spans="1:14" ht="60" customHeight="1" x14ac:dyDescent="0.3">
      <c r="A49" s="47"/>
      <c r="B49" s="180" t="s">
        <v>160</v>
      </c>
      <c r="C49" s="180"/>
      <c r="D49" s="180"/>
      <c r="E49" s="180"/>
      <c r="F49" s="180"/>
      <c r="G49" s="180"/>
      <c r="H49" s="180"/>
      <c r="I49" s="180"/>
      <c r="J49" s="180"/>
      <c r="K49" s="180"/>
      <c r="L49" s="180"/>
      <c r="M49" s="180"/>
      <c r="N49" s="48"/>
    </row>
    <row r="50" spans="1:14" ht="20" customHeight="1" x14ac:dyDescent="0.3">
      <c r="A50" s="21"/>
      <c r="B50" s="25"/>
      <c r="C50" s="25"/>
      <c r="D50" s="25"/>
      <c r="E50" s="25"/>
      <c r="F50" s="25"/>
      <c r="G50" s="25"/>
      <c r="H50" s="26"/>
      <c r="I50" s="25"/>
      <c r="J50" s="25"/>
      <c r="K50" s="25"/>
      <c r="L50" s="25"/>
      <c r="M50" s="25"/>
      <c r="N50" s="20"/>
    </row>
    <row r="51" spans="1:14" ht="45" customHeight="1" x14ac:dyDescent="0.3">
      <c r="A51" s="21"/>
      <c r="B51" s="280" t="s">
        <v>140</v>
      </c>
      <c r="C51" s="280"/>
      <c r="D51" s="280"/>
      <c r="E51" s="280"/>
      <c r="F51" s="280"/>
      <c r="G51" s="280"/>
      <c r="H51" s="280"/>
      <c r="I51" s="280"/>
      <c r="J51" s="280"/>
      <c r="K51" s="280"/>
      <c r="L51" s="280"/>
      <c r="M51" s="280"/>
      <c r="N51" s="20"/>
    </row>
    <row r="52" spans="1:14" ht="20" customHeight="1" x14ac:dyDescent="0.3">
      <c r="A52" s="21"/>
      <c r="B52" s="25"/>
      <c r="C52" s="25"/>
      <c r="D52" s="25"/>
      <c r="E52" s="25"/>
      <c r="F52" s="25"/>
      <c r="G52" s="25"/>
      <c r="H52" s="26"/>
      <c r="I52" s="25"/>
      <c r="J52" s="25"/>
      <c r="K52" s="25"/>
      <c r="L52" s="25"/>
      <c r="M52" s="25"/>
      <c r="N52" s="20"/>
    </row>
    <row r="53" spans="1:14" ht="60" customHeight="1" x14ac:dyDescent="0.3">
      <c r="A53" s="21"/>
      <c r="B53" s="261" t="s">
        <v>143</v>
      </c>
      <c r="C53" s="261"/>
      <c r="D53" s="261"/>
      <c r="E53" s="261"/>
      <c r="F53" s="261"/>
      <c r="G53" s="261"/>
      <c r="H53" s="26"/>
      <c r="I53" s="25"/>
      <c r="J53" s="25"/>
      <c r="K53" s="25"/>
      <c r="L53" s="25"/>
      <c r="M53" s="25"/>
      <c r="N53" s="20"/>
    </row>
    <row r="54" spans="1:14" ht="60" customHeight="1" x14ac:dyDescent="0.3">
      <c r="A54" s="21"/>
      <c r="B54" s="261" t="s">
        <v>144</v>
      </c>
      <c r="C54" s="261"/>
      <c r="D54" s="261"/>
      <c r="E54" s="261"/>
      <c r="F54" s="261"/>
      <c r="G54" s="261"/>
      <c r="H54" s="26"/>
      <c r="I54" s="25"/>
      <c r="J54" s="25"/>
      <c r="K54" s="25"/>
      <c r="L54" s="25"/>
      <c r="M54" s="25"/>
      <c r="N54" s="20"/>
    </row>
    <row r="55" spans="1:14" ht="60" customHeight="1" x14ac:dyDescent="0.3">
      <c r="A55" s="21"/>
      <c r="B55" s="261" t="s">
        <v>145</v>
      </c>
      <c r="C55" s="261"/>
      <c r="D55" s="261"/>
      <c r="E55" s="261"/>
      <c r="F55" s="261"/>
      <c r="G55" s="261"/>
      <c r="H55" s="26"/>
      <c r="I55" s="25"/>
      <c r="J55" s="25"/>
      <c r="K55" s="25"/>
      <c r="L55" s="25"/>
      <c r="M55" s="25"/>
      <c r="N55" s="20"/>
    </row>
    <row r="56" spans="1:14" ht="60" customHeight="1" x14ac:dyDescent="0.3">
      <c r="A56" s="21"/>
      <c r="B56" s="261" t="s">
        <v>146</v>
      </c>
      <c r="C56" s="261"/>
      <c r="D56" s="261"/>
      <c r="E56" s="261"/>
      <c r="F56" s="261"/>
      <c r="G56" s="261"/>
      <c r="H56" s="26"/>
      <c r="I56" s="25"/>
      <c r="J56" s="25"/>
      <c r="K56" s="25"/>
      <c r="L56" s="25"/>
      <c r="M56" s="25"/>
      <c r="N56" s="20"/>
    </row>
    <row r="57" spans="1:14" ht="20" customHeight="1" x14ac:dyDescent="0.3">
      <c r="A57" s="21"/>
      <c r="B57" s="25"/>
      <c r="C57" s="25"/>
      <c r="D57" s="25"/>
      <c r="E57" s="25"/>
      <c r="F57" s="25"/>
      <c r="G57" s="25"/>
      <c r="H57" s="26"/>
      <c r="I57" s="25"/>
      <c r="J57" s="25"/>
      <c r="K57" s="25"/>
      <c r="L57" s="25"/>
      <c r="M57" s="25"/>
      <c r="N57" s="20"/>
    </row>
    <row r="58" spans="1:14" ht="20" customHeight="1" x14ac:dyDescent="0.3">
      <c r="A58" s="21"/>
      <c r="B58" s="25"/>
      <c r="C58" s="25"/>
      <c r="D58" s="25"/>
      <c r="E58" s="25"/>
      <c r="F58" s="25"/>
      <c r="G58" s="25"/>
      <c r="H58" s="26"/>
      <c r="I58" s="25"/>
      <c r="J58" s="25"/>
      <c r="K58" s="25"/>
      <c r="L58" s="25"/>
      <c r="M58" s="25"/>
      <c r="N58" s="20"/>
    </row>
    <row r="59" spans="1:14" ht="20" customHeight="1" x14ac:dyDescent="0.3">
      <c r="A59" s="21"/>
      <c r="B59" s="25"/>
      <c r="C59" s="25"/>
      <c r="D59" s="25"/>
      <c r="E59" s="25"/>
      <c r="F59" s="25"/>
      <c r="G59" s="25"/>
      <c r="H59" s="26"/>
      <c r="I59" s="25"/>
      <c r="J59" s="25"/>
      <c r="K59" s="25"/>
      <c r="L59" s="25"/>
      <c r="M59" s="25"/>
      <c r="N59" s="20"/>
    </row>
    <row r="60" spans="1:14" ht="20" customHeight="1" x14ac:dyDescent="0.3">
      <c r="A60" s="21"/>
      <c r="B60" s="25"/>
      <c r="C60" s="25"/>
      <c r="D60" s="25"/>
      <c r="E60" s="25"/>
      <c r="F60" s="25"/>
      <c r="G60" s="25"/>
      <c r="H60" s="26"/>
      <c r="I60" s="25"/>
      <c r="J60" s="25"/>
      <c r="K60" s="25"/>
      <c r="L60" s="25"/>
      <c r="M60" s="25"/>
      <c r="N60" s="20"/>
    </row>
    <row r="61" spans="1:14" ht="20" customHeight="1" x14ac:dyDescent="0.3">
      <c r="A61" s="21"/>
      <c r="B61" s="25"/>
      <c r="C61" s="25"/>
      <c r="D61" s="25"/>
      <c r="E61" s="25"/>
      <c r="F61" s="25"/>
      <c r="G61" s="25"/>
      <c r="H61" s="26"/>
      <c r="I61" s="25"/>
      <c r="J61" s="25"/>
      <c r="K61" s="25"/>
      <c r="L61" s="25"/>
      <c r="M61" s="25"/>
      <c r="N61" s="20"/>
    </row>
    <row r="62" spans="1:14" ht="20" customHeight="1" x14ac:dyDescent="0.3">
      <c r="A62" s="21"/>
      <c r="B62" s="25"/>
      <c r="C62" s="25"/>
      <c r="D62" s="25"/>
      <c r="E62" s="25"/>
      <c r="F62" s="25"/>
      <c r="G62" s="25"/>
      <c r="H62" s="26"/>
      <c r="I62" s="25"/>
      <c r="J62" s="25"/>
      <c r="K62" s="25"/>
      <c r="L62" s="25"/>
      <c r="M62" s="25"/>
      <c r="N62" s="20"/>
    </row>
    <row r="63" spans="1:14" ht="20" customHeight="1" x14ac:dyDescent="0.3">
      <c r="A63" s="21"/>
      <c r="B63" s="25"/>
      <c r="C63" s="25"/>
      <c r="D63" s="25"/>
      <c r="E63" s="25"/>
      <c r="F63" s="25"/>
      <c r="G63" s="25"/>
      <c r="H63" s="26"/>
      <c r="I63" s="25"/>
      <c r="J63" s="25"/>
      <c r="K63" s="25"/>
      <c r="L63" s="25"/>
      <c r="M63" s="25"/>
      <c r="N63" s="20"/>
    </row>
    <row r="64" spans="1:14" ht="20" customHeight="1" x14ac:dyDescent="0.3">
      <c r="A64" s="21"/>
      <c r="B64" s="25"/>
      <c r="C64" s="25"/>
      <c r="D64" s="25"/>
      <c r="E64" s="25"/>
      <c r="F64" s="25"/>
      <c r="G64" s="25"/>
      <c r="H64" s="26"/>
      <c r="I64" s="25"/>
      <c r="J64" s="25"/>
      <c r="K64" s="25"/>
      <c r="L64" s="25"/>
      <c r="M64" s="25"/>
      <c r="N64" s="20"/>
    </row>
    <row r="65" spans="1:14" ht="20" customHeight="1" x14ac:dyDescent="0.3">
      <c r="A65" s="21"/>
      <c r="B65" s="25"/>
      <c r="C65" s="25"/>
      <c r="D65" s="25"/>
      <c r="E65" s="25"/>
      <c r="F65" s="25"/>
      <c r="G65" s="25"/>
      <c r="H65" s="26"/>
      <c r="I65" s="25"/>
      <c r="J65" s="25"/>
      <c r="K65" s="25"/>
      <c r="L65" s="25"/>
      <c r="M65" s="25"/>
      <c r="N65" s="20"/>
    </row>
    <row r="66" spans="1:14" ht="20" customHeight="1" x14ac:dyDescent="0.3">
      <c r="A66" s="21"/>
      <c r="B66" s="25"/>
      <c r="C66" s="25"/>
      <c r="D66" s="25"/>
      <c r="E66" s="25"/>
      <c r="F66" s="25"/>
      <c r="G66" s="25"/>
      <c r="H66" s="26"/>
      <c r="I66" s="25"/>
      <c r="J66" s="25"/>
      <c r="K66" s="25"/>
      <c r="L66" s="25"/>
      <c r="M66" s="25"/>
      <c r="N66" s="20"/>
    </row>
    <row r="67" spans="1:14" ht="20" customHeight="1" x14ac:dyDescent="0.3">
      <c r="A67" s="21"/>
      <c r="B67" s="25"/>
      <c r="C67" s="25"/>
      <c r="D67" s="25"/>
      <c r="E67" s="25"/>
      <c r="F67" s="25"/>
      <c r="G67" s="25"/>
      <c r="H67" s="26"/>
      <c r="I67" s="25"/>
      <c r="J67" s="25"/>
      <c r="K67" s="25"/>
      <c r="L67" s="25"/>
      <c r="M67" s="25"/>
      <c r="N67" s="20"/>
    </row>
    <row r="68" spans="1:14" ht="20" customHeight="1" x14ac:dyDescent="0.3">
      <c r="A68" s="21"/>
      <c r="B68" s="25"/>
      <c r="C68" s="25"/>
      <c r="D68" s="25"/>
      <c r="E68" s="25"/>
      <c r="F68" s="25"/>
      <c r="G68" s="25"/>
      <c r="H68" s="26"/>
      <c r="I68" s="25"/>
      <c r="J68" s="25"/>
      <c r="K68" s="25"/>
      <c r="L68" s="25"/>
      <c r="M68" s="25"/>
      <c r="N68" s="20"/>
    </row>
    <row r="69" spans="1:14" ht="20" customHeight="1" x14ac:dyDescent="0.3">
      <c r="A69" s="21"/>
      <c r="B69" s="25"/>
      <c r="C69" s="25"/>
      <c r="D69" s="25"/>
      <c r="E69" s="25"/>
      <c r="F69" s="25"/>
      <c r="G69" s="25"/>
      <c r="H69" s="26"/>
      <c r="I69" s="25"/>
      <c r="J69" s="25"/>
      <c r="K69" s="25"/>
      <c r="L69" s="25"/>
      <c r="M69" s="25"/>
      <c r="N69" s="20"/>
    </row>
    <row r="70" spans="1:14" ht="20" customHeight="1" x14ac:dyDescent="0.3">
      <c r="A70" s="21"/>
      <c r="B70" s="25"/>
      <c r="C70" s="25"/>
      <c r="D70" s="25"/>
      <c r="E70" s="25"/>
      <c r="F70" s="25"/>
      <c r="G70" s="25"/>
      <c r="H70" s="26"/>
      <c r="I70" s="25"/>
      <c r="J70" s="25"/>
      <c r="K70" s="25"/>
      <c r="L70" s="25"/>
      <c r="M70" s="25"/>
      <c r="N70" s="20"/>
    </row>
    <row r="71" spans="1:14" ht="60" customHeight="1" x14ac:dyDescent="0.3">
      <c r="A71" s="47"/>
      <c r="B71" s="180" t="s">
        <v>162</v>
      </c>
      <c r="C71" s="180"/>
      <c r="D71" s="180"/>
      <c r="E71" s="180"/>
      <c r="F71" s="180"/>
      <c r="G71" s="180"/>
      <c r="H71" s="180"/>
      <c r="I71" s="180"/>
      <c r="J71" s="180"/>
      <c r="K71" s="180"/>
      <c r="L71" s="180"/>
      <c r="M71" s="180"/>
      <c r="N71" s="48"/>
    </row>
    <row r="72" spans="1:14" ht="20" customHeight="1" x14ac:dyDescent="0.3">
      <c r="A72" s="21"/>
      <c r="B72" s="25"/>
      <c r="C72" s="25"/>
      <c r="D72" s="25"/>
      <c r="E72" s="25"/>
      <c r="F72" s="25"/>
      <c r="G72" s="25"/>
      <c r="H72" s="26"/>
      <c r="I72" s="25"/>
      <c r="J72" s="25"/>
      <c r="K72" s="25"/>
      <c r="L72" s="25"/>
      <c r="M72" s="25"/>
      <c r="N72" s="20"/>
    </row>
    <row r="73" spans="1:14" ht="45" customHeight="1" x14ac:dyDescent="0.3">
      <c r="A73" s="21"/>
      <c r="B73" s="280" t="s">
        <v>141</v>
      </c>
      <c r="C73" s="280"/>
      <c r="D73" s="280"/>
      <c r="E73" s="280"/>
      <c r="F73" s="280"/>
      <c r="G73" s="280"/>
      <c r="H73" s="280"/>
      <c r="I73" s="280"/>
      <c r="J73" s="280"/>
      <c r="K73" s="280"/>
      <c r="L73" s="280"/>
      <c r="M73" s="280"/>
      <c r="N73" s="20"/>
    </row>
    <row r="74" spans="1:14" ht="20" customHeight="1" x14ac:dyDescent="0.3">
      <c r="A74" s="21"/>
      <c r="B74" s="25"/>
      <c r="C74" s="25"/>
      <c r="D74" s="25"/>
      <c r="E74" s="25"/>
      <c r="F74" s="25"/>
      <c r="G74" s="25"/>
      <c r="H74" s="26"/>
      <c r="I74" s="25"/>
      <c r="J74" s="25"/>
      <c r="K74" s="25"/>
      <c r="L74" s="25"/>
      <c r="M74" s="25"/>
      <c r="N74" s="20"/>
    </row>
    <row r="75" spans="1:14" ht="60" customHeight="1" x14ac:dyDescent="0.3">
      <c r="A75" s="21"/>
      <c r="B75" s="261" t="s">
        <v>147</v>
      </c>
      <c r="C75" s="261"/>
      <c r="D75" s="261"/>
      <c r="E75" s="261"/>
      <c r="F75" s="261"/>
      <c r="G75" s="261"/>
      <c r="H75" s="26"/>
      <c r="I75" s="25"/>
      <c r="J75" s="25"/>
      <c r="K75" s="25"/>
      <c r="L75" s="25"/>
      <c r="M75" s="25"/>
      <c r="N75" s="20"/>
    </row>
    <row r="76" spans="1:14" ht="60" customHeight="1" x14ac:dyDescent="0.3">
      <c r="A76" s="21"/>
      <c r="B76" s="261" t="s">
        <v>148</v>
      </c>
      <c r="C76" s="261"/>
      <c r="D76" s="261"/>
      <c r="E76" s="261"/>
      <c r="F76" s="261"/>
      <c r="G76" s="261"/>
      <c r="H76" s="26"/>
      <c r="I76" s="25"/>
      <c r="J76" s="25"/>
      <c r="K76" s="25"/>
      <c r="L76" s="25"/>
      <c r="M76" s="25"/>
      <c r="N76" s="20"/>
    </row>
    <row r="77" spans="1:14" ht="60" customHeight="1" x14ac:dyDescent="0.3">
      <c r="A77" s="21"/>
      <c r="B77" s="261" t="s">
        <v>149</v>
      </c>
      <c r="C77" s="261"/>
      <c r="D77" s="261"/>
      <c r="E77" s="261"/>
      <c r="F77" s="261"/>
      <c r="G77" s="261"/>
      <c r="H77" s="26"/>
      <c r="I77" s="25"/>
      <c r="J77" s="25"/>
      <c r="K77" s="25"/>
      <c r="L77" s="25"/>
      <c r="M77" s="25"/>
      <c r="N77" s="20"/>
    </row>
    <row r="78" spans="1:14" ht="60" customHeight="1" x14ac:dyDescent="0.3">
      <c r="A78" s="21"/>
      <c r="B78" s="261" t="s">
        <v>150</v>
      </c>
      <c r="C78" s="261"/>
      <c r="D78" s="261"/>
      <c r="E78" s="261"/>
      <c r="F78" s="261"/>
      <c r="G78" s="261"/>
      <c r="H78" s="26"/>
      <c r="I78" s="25"/>
      <c r="J78" s="25"/>
      <c r="K78" s="25"/>
      <c r="L78" s="25"/>
      <c r="M78" s="25"/>
      <c r="N78" s="20"/>
    </row>
    <row r="79" spans="1:14" ht="20" customHeight="1" x14ac:dyDescent="0.3">
      <c r="A79" s="21"/>
      <c r="B79" s="25"/>
      <c r="C79" s="25"/>
      <c r="D79" s="25"/>
      <c r="E79" s="25"/>
      <c r="F79" s="25"/>
      <c r="G79" s="25"/>
      <c r="H79" s="26"/>
      <c r="I79" s="25"/>
      <c r="J79" s="25"/>
      <c r="K79" s="25"/>
      <c r="L79" s="25"/>
      <c r="M79" s="25"/>
      <c r="N79" s="20"/>
    </row>
    <row r="80" spans="1:14" ht="20" customHeight="1" x14ac:dyDescent="0.3">
      <c r="A80" s="21"/>
      <c r="B80" s="25"/>
      <c r="C80" s="25"/>
      <c r="D80" s="25"/>
      <c r="E80" s="25"/>
      <c r="F80" s="25"/>
      <c r="G80" s="25"/>
      <c r="H80" s="26"/>
      <c r="I80" s="25"/>
      <c r="J80" s="25"/>
      <c r="K80" s="25"/>
      <c r="L80" s="25"/>
      <c r="M80" s="25"/>
      <c r="N80" s="20"/>
    </row>
    <row r="81" spans="1:14" ht="20" customHeight="1" x14ac:dyDescent="0.3">
      <c r="A81" s="21"/>
      <c r="B81" s="25"/>
      <c r="C81" s="25"/>
      <c r="D81" s="25"/>
      <c r="E81" s="25"/>
      <c r="F81" s="25"/>
      <c r="G81" s="25"/>
      <c r="H81" s="26"/>
      <c r="I81" s="25"/>
      <c r="J81" s="25"/>
      <c r="K81" s="25"/>
      <c r="L81" s="25"/>
      <c r="M81" s="25"/>
      <c r="N81" s="20"/>
    </row>
    <row r="82" spans="1:14" ht="20" customHeight="1" x14ac:dyDescent="0.3">
      <c r="A82" s="21"/>
      <c r="B82" s="25"/>
      <c r="C82" s="25"/>
      <c r="D82" s="25"/>
      <c r="E82" s="25"/>
      <c r="F82" s="25"/>
      <c r="G82" s="25"/>
      <c r="H82" s="26"/>
      <c r="I82" s="25"/>
      <c r="J82" s="25"/>
      <c r="K82" s="25"/>
      <c r="L82" s="25"/>
      <c r="M82" s="25"/>
      <c r="N82" s="20"/>
    </row>
    <row r="83" spans="1:14" ht="20" customHeight="1" x14ac:dyDescent="0.3">
      <c r="A83" s="21"/>
      <c r="B83" s="25"/>
      <c r="C83" s="25"/>
      <c r="D83" s="25"/>
      <c r="E83" s="25"/>
      <c r="F83" s="25"/>
      <c r="G83" s="25"/>
      <c r="H83" s="26"/>
      <c r="I83" s="25"/>
      <c r="J83" s="25"/>
      <c r="K83" s="25"/>
      <c r="L83" s="25"/>
      <c r="M83" s="25"/>
      <c r="N83" s="20"/>
    </row>
    <row r="84" spans="1:14" ht="20" customHeight="1" x14ac:dyDescent="0.3">
      <c r="A84" s="21"/>
      <c r="B84" s="25"/>
      <c r="C84" s="25"/>
      <c r="D84" s="25"/>
      <c r="E84" s="25"/>
      <c r="F84" s="25"/>
      <c r="G84" s="25"/>
      <c r="H84" s="26"/>
      <c r="I84" s="25"/>
      <c r="J84" s="25"/>
      <c r="K84" s="25"/>
      <c r="L84" s="25"/>
      <c r="M84" s="25"/>
      <c r="N84" s="20"/>
    </row>
    <row r="85" spans="1:14" ht="20" customHeight="1" x14ac:dyDescent="0.3">
      <c r="A85" s="21"/>
      <c r="B85" s="25"/>
      <c r="C85" s="25"/>
      <c r="D85" s="25"/>
      <c r="E85" s="25"/>
      <c r="F85" s="25"/>
      <c r="G85" s="25"/>
      <c r="H85" s="26"/>
      <c r="I85" s="25"/>
      <c r="J85" s="25"/>
      <c r="K85" s="25"/>
      <c r="L85" s="25"/>
      <c r="M85" s="25"/>
      <c r="N85" s="20"/>
    </row>
    <row r="86" spans="1:14" ht="20" customHeight="1" x14ac:dyDescent="0.3">
      <c r="A86" s="21"/>
      <c r="B86" s="25"/>
      <c r="C86" s="25"/>
      <c r="D86" s="25"/>
      <c r="E86" s="25"/>
      <c r="F86" s="25"/>
      <c r="G86" s="25"/>
      <c r="H86" s="26"/>
      <c r="I86" s="25"/>
      <c r="J86" s="25"/>
      <c r="K86" s="25"/>
      <c r="L86" s="25"/>
      <c r="M86" s="25"/>
      <c r="N86" s="20"/>
    </row>
    <row r="87" spans="1:14" ht="20" customHeight="1" x14ac:dyDescent="0.3">
      <c r="A87" s="21"/>
      <c r="B87" s="25"/>
      <c r="C87" s="25"/>
      <c r="D87" s="25"/>
      <c r="E87" s="25"/>
      <c r="F87" s="25"/>
      <c r="G87" s="25"/>
      <c r="H87" s="26"/>
      <c r="I87" s="25"/>
      <c r="J87" s="25"/>
      <c r="K87" s="25"/>
      <c r="L87" s="25"/>
      <c r="M87" s="25"/>
      <c r="N87" s="20"/>
    </row>
    <row r="88" spans="1:14" ht="20" customHeight="1" x14ac:dyDescent="0.3">
      <c r="A88" s="21"/>
      <c r="B88" s="25"/>
      <c r="C88" s="25"/>
      <c r="D88" s="25"/>
      <c r="E88" s="25"/>
      <c r="F88" s="25"/>
      <c r="G88" s="25"/>
      <c r="H88" s="26"/>
      <c r="I88" s="25"/>
      <c r="J88" s="25"/>
      <c r="K88" s="25"/>
      <c r="L88" s="25"/>
      <c r="M88" s="25"/>
      <c r="N88" s="20"/>
    </row>
    <row r="89" spans="1:14" ht="20" customHeight="1" x14ac:dyDescent="0.3">
      <c r="A89" s="21"/>
      <c r="B89" s="25"/>
      <c r="C89" s="25"/>
      <c r="D89" s="25"/>
      <c r="E89" s="25"/>
      <c r="F89" s="25"/>
      <c r="G89" s="25"/>
      <c r="H89" s="26"/>
      <c r="I89" s="25"/>
      <c r="J89" s="25"/>
      <c r="K89" s="25"/>
      <c r="L89" s="25"/>
      <c r="M89" s="25"/>
      <c r="N89" s="20"/>
    </row>
    <row r="90" spans="1:14" ht="20" customHeight="1" x14ac:dyDescent="0.3">
      <c r="A90" s="21"/>
      <c r="B90" s="25"/>
      <c r="C90" s="25"/>
      <c r="D90" s="25"/>
      <c r="E90" s="25"/>
      <c r="F90" s="25"/>
      <c r="G90" s="25"/>
      <c r="H90" s="26"/>
      <c r="I90" s="25"/>
      <c r="J90" s="25"/>
      <c r="K90" s="25"/>
      <c r="L90" s="25"/>
      <c r="M90" s="25"/>
      <c r="N90" s="20"/>
    </row>
    <row r="91" spans="1:14" ht="20" customHeight="1" x14ac:dyDescent="0.3">
      <c r="A91" s="21"/>
      <c r="B91" s="25"/>
      <c r="C91" s="25"/>
      <c r="D91" s="25"/>
      <c r="E91" s="25"/>
      <c r="F91" s="25"/>
      <c r="G91" s="25"/>
      <c r="H91" s="26"/>
      <c r="I91" s="25"/>
      <c r="J91" s="25"/>
      <c r="K91" s="25"/>
      <c r="L91" s="25"/>
      <c r="M91" s="25"/>
      <c r="N91" s="20"/>
    </row>
    <row r="92" spans="1:14" ht="20" customHeight="1" x14ac:dyDescent="0.3">
      <c r="A92" s="21"/>
      <c r="B92" s="25"/>
      <c r="C92" s="25"/>
      <c r="D92" s="25"/>
      <c r="E92" s="25"/>
      <c r="F92" s="25"/>
      <c r="G92" s="25"/>
      <c r="H92" s="26"/>
      <c r="I92" s="25"/>
      <c r="J92" s="25"/>
      <c r="K92" s="25"/>
      <c r="L92" s="25"/>
      <c r="M92" s="25"/>
      <c r="N92" s="20"/>
    </row>
    <row r="93" spans="1:14" ht="60" customHeight="1" x14ac:dyDescent="0.3">
      <c r="A93" s="47"/>
      <c r="B93" s="180" t="s">
        <v>163</v>
      </c>
      <c r="C93" s="180"/>
      <c r="D93" s="180"/>
      <c r="E93" s="180"/>
      <c r="F93" s="180"/>
      <c r="G93" s="180"/>
      <c r="H93" s="180"/>
      <c r="I93" s="180"/>
      <c r="J93" s="180"/>
      <c r="K93" s="180"/>
      <c r="L93" s="180"/>
      <c r="M93" s="180"/>
      <c r="N93" s="48"/>
    </row>
    <row r="94" spans="1:14" ht="20" customHeight="1" x14ac:dyDescent="0.3">
      <c r="A94" s="21"/>
      <c r="B94" s="25"/>
      <c r="C94" s="25"/>
      <c r="D94" s="25"/>
      <c r="E94" s="25"/>
      <c r="F94" s="25"/>
      <c r="G94" s="25"/>
      <c r="H94" s="26"/>
      <c r="I94" s="25"/>
      <c r="J94" s="25"/>
      <c r="K94" s="25"/>
      <c r="L94" s="25"/>
      <c r="M94" s="25"/>
      <c r="N94" s="20"/>
    </row>
    <row r="95" spans="1:14" ht="45" customHeight="1" x14ac:dyDescent="0.3">
      <c r="A95" s="21"/>
      <c r="B95" s="280" t="s">
        <v>135</v>
      </c>
      <c r="C95" s="280"/>
      <c r="D95" s="280"/>
      <c r="E95" s="280"/>
      <c r="F95" s="280"/>
      <c r="G95" s="280"/>
      <c r="H95" s="280"/>
      <c r="I95" s="280"/>
      <c r="J95" s="280"/>
      <c r="K95" s="280"/>
      <c r="L95" s="280"/>
      <c r="M95" s="280"/>
      <c r="N95" s="20"/>
    </row>
    <row r="96" spans="1:14" ht="20" customHeight="1" x14ac:dyDescent="0.3">
      <c r="A96" s="21"/>
      <c r="B96" s="25"/>
      <c r="C96" s="25"/>
      <c r="D96" s="25"/>
      <c r="E96" s="25"/>
      <c r="F96" s="25"/>
      <c r="G96" s="25"/>
      <c r="H96" s="26"/>
      <c r="I96" s="25"/>
      <c r="J96" s="25"/>
      <c r="K96" s="25"/>
      <c r="L96" s="25"/>
      <c r="M96" s="25"/>
      <c r="N96" s="20"/>
    </row>
    <row r="97" spans="1:14" ht="60" customHeight="1" x14ac:dyDescent="0.3">
      <c r="A97" s="21"/>
      <c r="B97" s="261" t="s">
        <v>151</v>
      </c>
      <c r="C97" s="261"/>
      <c r="D97" s="261"/>
      <c r="E97" s="261"/>
      <c r="F97" s="261"/>
      <c r="G97" s="261"/>
      <c r="H97" s="261"/>
      <c r="I97" s="25"/>
      <c r="J97" s="25"/>
      <c r="K97" s="25"/>
      <c r="L97" s="25"/>
      <c r="M97" s="25"/>
      <c r="N97" s="20"/>
    </row>
    <row r="98" spans="1:14" ht="60" customHeight="1" x14ac:dyDescent="0.3">
      <c r="A98" s="21"/>
      <c r="B98" s="261" t="s">
        <v>152</v>
      </c>
      <c r="C98" s="261"/>
      <c r="D98" s="261"/>
      <c r="E98" s="261"/>
      <c r="F98" s="261"/>
      <c r="G98" s="261"/>
      <c r="H98" s="26"/>
      <c r="I98" s="25"/>
      <c r="J98" s="25"/>
      <c r="K98" s="25"/>
      <c r="L98" s="25"/>
      <c r="M98" s="25"/>
      <c r="N98" s="20"/>
    </row>
    <row r="99" spans="1:14" ht="60" customHeight="1" x14ac:dyDescent="0.3">
      <c r="A99" s="21"/>
      <c r="B99" s="261" t="s">
        <v>153</v>
      </c>
      <c r="C99" s="261"/>
      <c r="D99" s="261"/>
      <c r="E99" s="261"/>
      <c r="F99" s="261"/>
      <c r="G99" s="261"/>
      <c r="H99" s="26"/>
      <c r="I99" s="25"/>
      <c r="J99" s="25"/>
      <c r="K99" s="25"/>
      <c r="L99" s="25"/>
      <c r="M99" s="25"/>
      <c r="N99" s="20"/>
    </row>
    <row r="100" spans="1:14" ht="60" customHeight="1" x14ac:dyDescent="0.3">
      <c r="A100" s="21"/>
      <c r="B100" s="261" t="s">
        <v>154</v>
      </c>
      <c r="C100" s="261"/>
      <c r="D100" s="261"/>
      <c r="E100" s="261"/>
      <c r="F100" s="261"/>
      <c r="G100" s="261"/>
      <c r="H100" s="26"/>
      <c r="I100" s="25"/>
      <c r="J100" s="25"/>
      <c r="K100" s="25"/>
      <c r="L100" s="25"/>
      <c r="M100" s="25"/>
      <c r="N100" s="20"/>
    </row>
    <row r="101" spans="1:14" ht="20" customHeight="1" x14ac:dyDescent="0.3">
      <c r="A101" s="21"/>
      <c r="B101" s="25"/>
      <c r="C101" s="25"/>
      <c r="D101" s="25"/>
      <c r="E101" s="25"/>
      <c r="F101" s="25"/>
      <c r="G101" s="25"/>
      <c r="H101" s="26"/>
      <c r="I101" s="25"/>
      <c r="J101" s="25"/>
      <c r="K101" s="25"/>
      <c r="L101" s="25"/>
      <c r="M101" s="25"/>
      <c r="N101" s="20"/>
    </row>
    <row r="102" spans="1:14" ht="20" customHeight="1" x14ac:dyDescent="0.3">
      <c r="A102" s="21"/>
      <c r="B102" s="25"/>
      <c r="C102" s="25"/>
      <c r="D102" s="25"/>
      <c r="E102" s="25"/>
      <c r="F102" s="25"/>
      <c r="G102" s="25"/>
      <c r="H102" s="26"/>
      <c r="I102" s="25"/>
      <c r="J102" s="25"/>
      <c r="K102" s="25"/>
      <c r="L102" s="25"/>
      <c r="M102" s="25"/>
      <c r="N102" s="20"/>
    </row>
    <row r="103" spans="1:14" ht="20" customHeight="1" x14ac:dyDescent="0.3">
      <c r="A103" s="21"/>
      <c r="B103" s="25"/>
      <c r="C103" s="25"/>
      <c r="D103" s="25"/>
      <c r="E103" s="25"/>
      <c r="F103" s="25"/>
      <c r="G103" s="25"/>
      <c r="H103" s="26"/>
      <c r="I103" s="25"/>
      <c r="J103" s="25"/>
      <c r="K103" s="25"/>
      <c r="L103" s="25"/>
      <c r="M103" s="25"/>
      <c r="N103" s="20"/>
    </row>
    <row r="104" spans="1:14" ht="20" customHeight="1" x14ac:dyDescent="0.3">
      <c r="A104" s="21"/>
      <c r="B104" s="25"/>
      <c r="C104" s="25"/>
      <c r="D104" s="25"/>
      <c r="E104" s="25"/>
      <c r="F104" s="25"/>
      <c r="G104" s="25"/>
      <c r="H104" s="26"/>
      <c r="I104" s="25"/>
      <c r="J104" s="25"/>
      <c r="K104" s="25"/>
      <c r="L104" s="25"/>
      <c r="M104" s="25"/>
      <c r="N104" s="20"/>
    </row>
    <row r="105" spans="1:14" ht="20" customHeight="1" x14ac:dyDescent="0.3">
      <c r="A105" s="21"/>
      <c r="B105" s="25"/>
      <c r="C105" s="25"/>
      <c r="D105" s="25"/>
      <c r="E105" s="25"/>
      <c r="F105" s="25"/>
      <c r="G105" s="25"/>
      <c r="H105" s="26"/>
      <c r="I105" s="25"/>
      <c r="J105" s="25"/>
      <c r="K105" s="25"/>
      <c r="L105" s="25"/>
      <c r="M105" s="25"/>
      <c r="N105" s="20"/>
    </row>
    <row r="106" spans="1:14" ht="20" customHeight="1" x14ac:dyDescent="0.3">
      <c r="A106" s="21"/>
      <c r="B106" s="25"/>
      <c r="C106" s="25"/>
      <c r="D106" s="25"/>
      <c r="E106" s="25"/>
      <c r="F106" s="25"/>
      <c r="G106" s="25"/>
      <c r="H106" s="26"/>
      <c r="I106" s="25"/>
      <c r="J106" s="25"/>
      <c r="K106" s="25"/>
      <c r="L106" s="25"/>
      <c r="M106" s="25"/>
      <c r="N106" s="20"/>
    </row>
    <row r="107" spans="1:14" ht="20" customHeight="1" x14ac:dyDescent="0.3">
      <c r="A107" s="21"/>
      <c r="B107" s="25"/>
      <c r="C107" s="25"/>
      <c r="D107" s="25"/>
      <c r="E107" s="25"/>
      <c r="F107" s="25"/>
      <c r="G107" s="25"/>
      <c r="H107" s="26"/>
      <c r="I107" s="25"/>
      <c r="J107" s="25"/>
      <c r="K107" s="25"/>
      <c r="L107" s="25"/>
      <c r="M107" s="25"/>
      <c r="N107" s="20"/>
    </row>
    <row r="108" spans="1:14" ht="20" customHeight="1" x14ac:dyDescent="0.3">
      <c r="A108" s="21"/>
      <c r="B108" s="25"/>
      <c r="C108" s="25"/>
      <c r="D108" s="25"/>
      <c r="E108" s="25"/>
      <c r="F108" s="25"/>
      <c r="G108" s="25"/>
      <c r="H108" s="26"/>
      <c r="I108" s="25"/>
      <c r="J108" s="25"/>
      <c r="K108" s="25"/>
      <c r="L108" s="25"/>
      <c r="M108" s="25"/>
      <c r="N108" s="20"/>
    </row>
    <row r="109" spans="1:14" ht="20" customHeight="1" x14ac:dyDescent="0.3">
      <c r="A109" s="21"/>
      <c r="B109" s="25"/>
      <c r="C109" s="25"/>
      <c r="D109" s="25"/>
      <c r="E109" s="25"/>
      <c r="F109" s="25"/>
      <c r="G109" s="25"/>
      <c r="H109" s="26"/>
      <c r="I109" s="25"/>
      <c r="J109" s="25"/>
      <c r="K109" s="25"/>
      <c r="L109" s="25"/>
      <c r="M109" s="25"/>
      <c r="N109" s="20"/>
    </row>
    <row r="110" spans="1:14" ht="20" customHeight="1" x14ac:dyDescent="0.3">
      <c r="A110" s="21"/>
      <c r="B110" s="25"/>
      <c r="C110" s="25"/>
      <c r="D110" s="25"/>
      <c r="E110" s="25"/>
      <c r="F110" s="25"/>
      <c r="G110" s="25"/>
      <c r="H110" s="26"/>
      <c r="I110" s="25"/>
      <c r="J110" s="25"/>
      <c r="K110" s="25"/>
      <c r="L110" s="25"/>
      <c r="M110" s="25"/>
      <c r="N110" s="20"/>
    </row>
    <row r="111" spans="1:14" ht="20" customHeight="1" x14ac:dyDescent="0.3">
      <c r="A111" s="21"/>
      <c r="B111" s="25"/>
      <c r="C111" s="25"/>
      <c r="D111" s="25"/>
      <c r="E111" s="25"/>
      <c r="F111" s="25"/>
      <c r="G111" s="25"/>
      <c r="H111" s="26"/>
      <c r="I111" s="25"/>
      <c r="J111" s="25"/>
      <c r="K111" s="25"/>
      <c r="L111" s="25"/>
      <c r="M111" s="25"/>
      <c r="N111" s="20"/>
    </row>
    <row r="112" spans="1:14" ht="20" customHeight="1" x14ac:dyDescent="0.3">
      <c r="A112" s="21"/>
      <c r="B112" s="25"/>
      <c r="C112" s="25"/>
      <c r="D112" s="25"/>
      <c r="E112" s="25"/>
      <c r="F112" s="25"/>
      <c r="G112" s="25"/>
      <c r="H112" s="26"/>
      <c r="I112" s="25"/>
      <c r="J112" s="25"/>
      <c r="K112" s="25"/>
      <c r="L112" s="25"/>
      <c r="M112" s="25"/>
      <c r="N112" s="20"/>
    </row>
    <row r="113" spans="1:14" ht="20" customHeight="1" x14ac:dyDescent="0.3">
      <c r="A113" s="21"/>
      <c r="B113" s="25"/>
      <c r="C113" s="25"/>
      <c r="D113" s="25"/>
      <c r="E113" s="25"/>
      <c r="F113" s="25"/>
      <c r="G113" s="25"/>
      <c r="H113" s="26"/>
      <c r="I113" s="25"/>
      <c r="J113" s="25"/>
      <c r="K113" s="25"/>
      <c r="L113" s="25"/>
      <c r="M113" s="25"/>
      <c r="N113" s="20"/>
    </row>
    <row r="114" spans="1:14" ht="55" customHeight="1" x14ac:dyDescent="0.3">
      <c r="A114" s="47"/>
      <c r="B114" s="256" t="s">
        <v>129</v>
      </c>
      <c r="C114" s="256"/>
      <c r="D114" s="256"/>
      <c r="E114" s="256"/>
      <c r="F114" s="256"/>
      <c r="G114" s="256"/>
      <c r="H114" s="256"/>
      <c r="I114" s="256"/>
      <c r="J114" s="256"/>
      <c r="K114" s="256"/>
      <c r="L114" s="256"/>
      <c r="M114" s="256"/>
      <c r="N114" s="48"/>
    </row>
    <row r="115" spans="1:14" ht="10" customHeight="1" x14ac:dyDescent="0.3">
      <c r="A115" s="21"/>
      <c r="B115" s="24"/>
      <c r="C115" s="24"/>
      <c r="D115" s="24"/>
      <c r="E115" s="24"/>
      <c r="F115" s="24"/>
      <c r="G115" s="24"/>
      <c r="H115" s="24"/>
      <c r="I115" s="24"/>
      <c r="J115" s="24"/>
      <c r="K115" s="24"/>
      <c r="L115" s="24"/>
      <c r="M115" s="24"/>
      <c r="N115" s="20"/>
    </row>
    <row r="116" spans="1:14" ht="60" customHeight="1" x14ac:dyDescent="0.3">
      <c r="A116" s="21"/>
      <c r="B116" s="257" t="s">
        <v>128</v>
      </c>
      <c r="C116" s="257"/>
      <c r="D116" s="257"/>
      <c r="E116" s="257"/>
      <c r="F116" s="257"/>
      <c r="G116" s="257"/>
      <c r="H116" s="257"/>
      <c r="I116" s="257"/>
      <c r="J116" s="257"/>
      <c r="K116" s="257"/>
      <c r="L116" s="257"/>
      <c r="M116" s="257"/>
      <c r="N116" s="20"/>
    </row>
    <row r="117" spans="1:14" ht="20" customHeight="1" x14ac:dyDescent="0.3">
      <c r="A117" s="21"/>
      <c r="B117" s="24"/>
      <c r="C117" s="24"/>
      <c r="D117" s="24"/>
      <c r="E117" s="24"/>
      <c r="F117" s="24"/>
      <c r="G117" s="24"/>
      <c r="H117" s="24"/>
      <c r="I117" s="24"/>
      <c r="J117" s="24"/>
      <c r="K117" s="24"/>
      <c r="L117" s="24"/>
      <c r="M117" s="24"/>
      <c r="N117" s="20"/>
    </row>
    <row r="118" spans="1:14" ht="20" customHeight="1" x14ac:dyDescent="0.3">
      <c r="A118" s="21"/>
      <c r="B118" s="24" t="s">
        <v>19</v>
      </c>
      <c r="C118" s="217" t="s">
        <v>158</v>
      </c>
      <c r="D118" s="217"/>
      <c r="E118" s="217"/>
      <c r="F118" s="217" t="s">
        <v>159</v>
      </c>
      <c r="G118" s="217"/>
      <c r="H118" s="217"/>
      <c r="I118" s="87" t="s">
        <v>109</v>
      </c>
      <c r="J118" s="87" t="s">
        <v>110</v>
      </c>
      <c r="K118" s="87" t="s">
        <v>111</v>
      </c>
      <c r="L118" s="87" t="s">
        <v>108</v>
      </c>
      <c r="M118" s="55" t="s">
        <v>95</v>
      </c>
      <c r="N118" s="20"/>
    </row>
    <row r="119" spans="1:14" ht="20" customHeight="1" x14ac:dyDescent="0.3">
      <c r="A119" s="21"/>
      <c r="B119" s="75">
        <v>1</v>
      </c>
      <c r="C119" s="236"/>
      <c r="D119" s="237"/>
      <c r="E119" s="237"/>
      <c r="F119" s="237"/>
      <c r="G119" s="237"/>
      <c r="H119" s="237"/>
      <c r="I119" s="76">
        <f>IF(OR($C119="",K1035&gt;1),0,K1035)</f>
        <v>0</v>
      </c>
      <c r="J119" s="76">
        <f>IF($C119="",0,W1035)</f>
        <v>0</v>
      </c>
      <c r="K119" s="76">
        <f>IF($C119="",0,AA1035)</f>
        <v>0</v>
      </c>
      <c r="L119" s="76">
        <f t="shared" ref="L119:L138" si="0">IF(OR(AH1035&gt;1,$C119=""),0,AH1035)</f>
        <v>0</v>
      </c>
      <c r="M119" s="77">
        <f t="shared" ref="M119:M138" si="1">IF(OR($C119="",AJ1035&gt;1),0,AJ1035)</f>
        <v>0</v>
      </c>
      <c r="N119" s="20"/>
    </row>
    <row r="120" spans="1:14" ht="20" customHeight="1" x14ac:dyDescent="0.3">
      <c r="A120" s="21"/>
      <c r="B120" s="75">
        <v>2</v>
      </c>
      <c r="C120" s="236"/>
      <c r="D120" s="237"/>
      <c r="E120" s="237"/>
      <c r="F120" s="237"/>
      <c r="G120" s="237"/>
      <c r="H120" s="237"/>
      <c r="I120" s="76">
        <f t="shared" ref="I120:I121" si="2">IF(OR($C120="",K1036&gt;1),0,K1036)</f>
        <v>0</v>
      </c>
      <c r="J120" s="76">
        <f t="shared" ref="J120:J121" si="3">IF($C120="",0,W1036)</f>
        <v>0</v>
      </c>
      <c r="K120" s="76">
        <f t="shared" ref="K120:K121" si="4">IF($C120="",0,AA1036)</f>
        <v>0</v>
      </c>
      <c r="L120" s="76">
        <f t="shared" si="0"/>
        <v>0</v>
      </c>
      <c r="M120" s="77">
        <f t="shared" si="1"/>
        <v>0</v>
      </c>
      <c r="N120" s="20"/>
    </row>
    <row r="121" spans="1:14" ht="20" customHeight="1" x14ac:dyDescent="0.3">
      <c r="A121" s="21"/>
      <c r="B121" s="75">
        <v>3</v>
      </c>
      <c r="C121" s="236"/>
      <c r="D121" s="237"/>
      <c r="E121" s="237"/>
      <c r="F121" s="237"/>
      <c r="G121" s="237"/>
      <c r="H121" s="237"/>
      <c r="I121" s="76">
        <f t="shared" si="2"/>
        <v>0</v>
      </c>
      <c r="J121" s="76">
        <f t="shared" si="3"/>
        <v>0</v>
      </c>
      <c r="K121" s="76">
        <f t="shared" si="4"/>
        <v>0</v>
      </c>
      <c r="L121" s="76">
        <f t="shared" si="0"/>
        <v>0</v>
      </c>
      <c r="M121" s="77">
        <f t="shared" si="1"/>
        <v>0</v>
      </c>
      <c r="N121" s="20"/>
    </row>
    <row r="122" spans="1:14" ht="20" customHeight="1" x14ac:dyDescent="0.3">
      <c r="A122" s="21"/>
      <c r="B122" s="75">
        <v>4</v>
      </c>
      <c r="C122" s="236"/>
      <c r="D122" s="237"/>
      <c r="E122" s="237"/>
      <c r="F122" s="237"/>
      <c r="G122" s="237"/>
      <c r="H122" s="237"/>
      <c r="I122" s="76">
        <f t="shared" ref="I122:I138" si="5">IF(OR($C122="",K1038&gt;1),0,K1038)</f>
        <v>0</v>
      </c>
      <c r="J122" s="76">
        <f t="shared" ref="J122:J138" si="6">IF($C122="",0,W1038)</f>
        <v>0</v>
      </c>
      <c r="K122" s="76">
        <f t="shared" ref="K122:K138" si="7">IF($C122="",0,AA1038)</f>
        <v>0</v>
      </c>
      <c r="L122" s="76">
        <f t="shared" si="0"/>
        <v>0</v>
      </c>
      <c r="M122" s="77">
        <f t="shared" si="1"/>
        <v>0</v>
      </c>
      <c r="N122" s="20"/>
    </row>
    <row r="123" spans="1:14" ht="20" customHeight="1" x14ac:dyDescent="0.3">
      <c r="A123" s="21"/>
      <c r="B123" s="75">
        <v>5</v>
      </c>
      <c r="C123" s="236"/>
      <c r="D123" s="237"/>
      <c r="E123" s="237"/>
      <c r="F123" s="237"/>
      <c r="G123" s="237"/>
      <c r="H123" s="237"/>
      <c r="I123" s="76">
        <f t="shared" si="5"/>
        <v>0</v>
      </c>
      <c r="J123" s="76">
        <f t="shared" si="6"/>
        <v>0</v>
      </c>
      <c r="K123" s="76">
        <f t="shared" si="7"/>
        <v>0</v>
      </c>
      <c r="L123" s="76">
        <f t="shared" si="0"/>
        <v>0</v>
      </c>
      <c r="M123" s="77">
        <f t="shared" si="1"/>
        <v>0</v>
      </c>
      <c r="N123" s="20"/>
    </row>
    <row r="124" spans="1:14" ht="20" customHeight="1" x14ac:dyDescent="0.3">
      <c r="A124" s="21"/>
      <c r="B124" s="75">
        <v>6</v>
      </c>
      <c r="C124" s="236"/>
      <c r="D124" s="237"/>
      <c r="E124" s="237"/>
      <c r="F124" s="237"/>
      <c r="G124" s="237"/>
      <c r="H124" s="237"/>
      <c r="I124" s="76">
        <f t="shared" si="5"/>
        <v>0</v>
      </c>
      <c r="J124" s="76">
        <f t="shared" si="6"/>
        <v>0</v>
      </c>
      <c r="K124" s="76">
        <f t="shared" si="7"/>
        <v>0</v>
      </c>
      <c r="L124" s="76">
        <f t="shared" si="0"/>
        <v>0</v>
      </c>
      <c r="M124" s="77">
        <f t="shared" si="1"/>
        <v>0</v>
      </c>
      <c r="N124" s="20"/>
    </row>
    <row r="125" spans="1:14" ht="20" customHeight="1" x14ac:dyDescent="0.3">
      <c r="A125" s="21"/>
      <c r="B125" s="75">
        <v>7</v>
      </c>
      <c r="C125" s="236"/>
      <c r="D125" s="237"/>
      <c r="E125" s="237"/>
      <c r="F125" s="237"/>
      <c r="G125" s="237"/>
      <c r="H125" s="237"/>
      <c r="I125" s="76">
        <f t="shared" si="5"/>
        <v>0</v>
      </c>
      <c r="J125" s="76">
        <f t="shared" si="6"/>
        <v>0</v>
      </c>
      <c r="K125" s="76">
        <f t="shared" si="7"/>
        <v>0</v>
      </c>
      <c r="L125" s="76">
        <f t="shared" si="0"/>
        <v>0</v>
      </c>
      <c r="M125" s="77">
        <f t="shared" si="1"/>
        <v>0</v>
      </c>
      <c r="N125" s="20"/>
    </row>
    <row r="126" spans="1:14" ht="20" customHeight="1" x14ac:dyDescent="0.3">
      <c r="A126" s="21"/>
      <c r="B126" s="75">
        <v>8</v>
      </c>
      <c r="C126" s="236"/>
      <c r="D126" s="237"/>
      <c r="E126" s="237"/>
      <c r="F126" s="237"/>
      <c r="G126" s="237"/>
      <c r="H126" s="237"/>
      <c r="I126" s="76">
        <f t="shared" si="5"/>
        <v>0</v>
      </c>
      <c r="J126" s="76">
        <f t="shared" si="6"/>
        <v>0</v>
      </c>
      <c r="K126" s="76">
        <f t="shared" si="7"/>
        <v>0</v>
      </c>
      <c r="L126" s="76">
        <f t="shared" si="0"/>
        <v>0</v>
      </c>
      <c r="M126" s="77">
        <f t="shared" si="1"/>
        <v>0</v>
      </c>
      <c r="N126" s="20"/>
    </row>
    <row r="127" spans="1:14" ht="20" customHeight="1" x14ac:dyDescent="0.3">
      <c r="A127" s="21"/>
      <c r="B127" s="75">
        <v>9</v>
      </c>
      <c r="C127" s="236"/>
      <c r="D127" s="237"/>
      <c r="E127" s="237"/>
      <c r="F127" s="237"/>
      <c r="G127" s="237"/>
      <c r="H127" s="237"/>
      <c r="I127" s="76">
        <f t="shared" si="5"/>
        <v>0</v>
      </c>
      <c r="J127" s="76">
        <f t="shared" si="6"/>
        <v>0</v>
      </c>
      <c r="K127" s="76">
        <f t="shared" si="7"/>
        <v>0</v>
      </c>
      <c r="L127" s="76">
        <f t="shared" si="0"/>
        <v>0</v>
      </c>
      <c r="M127" s="77">
        <f t="shared" si="1"/>
        <v>0</v>
      </c>
      <c r="N127" s="20"/>
    </row>
    <row r="128" spans="1:14" ht="20" customHeight="1" x14ac:dyDescent="0.3">
      <c r="A128" s="21"/>
      <c r="B128" s="75">
        <v>10</v>
      </c>
      <c r="C128" s="236"/>
      <c r="D128" s="237"/>
      <c r="E128" s="237"/>
      <c r="F128" s="237"/>
      <c r="G128" s="237"/>
      <c r="H128" s="237"/>
      <c r="I128" s="76">
        <f t="shared" si="5"/>
        <v>0</v>
      </c>
      <c r="J128" s="76">
        <f t="shared" si="6"/>
        <v>0</v>
      </c>
      <c r="K128" s="76">
        <f t="shared" si="7"/>
        <v>0</v>
      </c>
      <c r="L128" s="76">
        <f t="shared" si="0"/>
        <v>0</v>
      </c>
      <c r="M128" s="77">
        <f t="shared" si="1"/>
        <v>0</v>
      </c>
      <c r="N128" s="20"/>
    </row>
    <row r="129" spans="1:14" ht="20" customHeight="1" x14ac:dyDescent="0.3">
      <c r="A129" s="21"/>
      <c r="B129" s="75">
        <v>11</v>
      </c>
      <c r="C129" s="236"/>
      <c r="D129" s="237"/>
      <c r="E129" s="237"/>
      <c r="F129" s="237"/>
      <c r="G129" s="237"/>
      <c r="H129" s="237"/>
      <c r="I129" s="76">
        <f t="shared" si="5"/>
        <v>0</v>
      </c>
      <c r="J129" s="76">
        <f t="shared" si="6"/>
        <v>0</v>
      </c>
      <c r="K129" s="76">
        <f t="shared" si="7"/>
        <v>0</v>
      </c>
      <c r="L129" s="76">
        <f t="shared" si="0"/>
        <v>0</v>
      </c>
      <c r="M129" s="77">
        <f t="shared" si="1"/>
        <v>0</v>
      </c>
      <c r="N129" s="20"/>
    </row>
    <row r="130" spans="1:14" ht="20" customHeight="1" x14ac:dyDescent="0.3">
      <c r="A130" s="21"/>
      <c r="B130" s="75">
        <v>12</v>
      </c>
      <c r="C130" s="236"/>
      <c r="D130" s="237"/>
      <c r="E130" s="237"/>
      <c r="F130" s="237"/>
      <c r="G130" s="237"/>
      <c r="H130" s="237"/>
      <c r="I130" s="76">
        <f t="shared" si="5"/>
        <v>0</v>
      </c>
      <c r="J130" s="76">
        <f t="shared" si="6"/>
        <v>0</v>
      </c>
      <c r="K130" s="76">
        <f t="shared" si="7"/>
        <v>0</v>
      </c>
      <c r="L130" s="76">
        <f t="shared" si="0"/>
        <v>0</v>
      </c>
      <c r="M130" s="77">
        <f t="shared" si="1"/>
        <v>0</v>
      </c>
      <c r="N130" s="20"/>
    </row>
    <row r="131" spans="1:14" ht="20" customHeight="1" x14ac:dyDescent="0.3">
      <c r="A131" s="21"/>
      <c r="B131" s="75">
        <v>13</v>
      </c>
      <c r="C131" s="236"/>
      <c r="D131" s="237"/>
      <c r="E131" s="237"/>
      <c r="F131" s="237"/>
      <c r="G131" s="237"/>
      <c r="H131" s="237"/>
      <c r="I131" s="76">
        <f t="shared" si="5"/>
        <v>0</v>
      </c>
      <c r="J131" s="76">
        <f t="shared" si="6"/>
        <v>0</v>
      </c>
      <c r="K131" s="76">
        <f t="shared" si="7"/>
        <v>0</v>
      </c>
      <c r="L131" s="76">
        <f t="shared" si="0"/>
        <v>0</v>
      </c>
      <c r="M131" s="77">
        <f t="shared" si="1"/>
        <v>0</v>
      </c>
      <c r="N131" s="20"/>
    </row>
    <row r="132" spans="1:14" ht="20" customHeight="1" x14ac:dyDescent="0.3">
      <c r="A132" s="21"/>
      <c r="B132" s="75">
        <v>14</v>
      </c>
      <c r="C132" s="236"/>
      <c r="D132" s="237"/>
      <c r="E132" s="237"/>
      <c r="F132" s="237"/>
      <c r="G132" s="237"/>
      <c r="H132" s="237"/>
      <c r="I132" s="76">
        <f t="shared" si="5"/>
        <v>0</v>
      </c>
      <c r="J132" s="76">
        <f t="shared" si="6"/>
        <v>0</v>
      </c>
      <c r="K132" s="76">
        <f t="shared" si="7"/>
        <v>0</v>
      </c>
      <c r="L132" s="76">
        <f t="shared" si="0"/>
        <v>0</v>
      </c>
      <c r="M132" s="77">
        <f t="shared" si="1"/>
        <v>0</v>
      </c>
      <c r="N132" s="20"/>
    </row>
    <row r="133" spans="1:14" ht="20" customHeight="1" x14ac:dyDescent="0.3">
      <c r="A133" s="21"/>
      <c r="B133" s="75">
        <v>15</v>
      </c>
      <c r="C133" s="236"/>
      <c r="D133" s="237"/>
      <c r="E133" s="237"/>
      <c r="F133" s="237"/>
      <c r="G133" s="237"/>
      <c r="H133" s="237"/>
      <c r="I133" s="76">
        <f t="shared" si="5"/>
        <v>0</v>
      </c>
      <c r="J133" s="76">
        <f t="shared" si="6"/>
        <v>0</v>
      </c>
      <c r="K133" s="76">
        <f t="shared" si="7"/>
        <v>0</v>
      </c>
      <c r="L133" s="76">
        <f t="shared" si="0"/>
        <v>0</v>
      </c>
      <c r="M133" s="77">
        <f t="shared" si="1"/>
        <v>0</v>
      </c>
      <c r="N133" s="20"/>
    </row>
    <row r="134" spans="1:14" ht="20" customHeight="1" x14ac:dyDescent="0.3">
      <c r="A134" s="21"/>
      <c r="B134" s="75">
        <v>16</v>
      </c>
      <c r="C134" s="236"/>
      <c r="D134" s="237"/>
      <c r="E134" s="237"/>
      <c r="F134" s="237"/>
      <c r="G134" s="237"/>
      <c r="H134" s="237"/>
      <c r="I134" s="76">
        <f t="shared" si="5"/>
        <v>0</v>
      </c>
      <c r="J134" s="76">
        <f t="shared" si="6"/>
        <v>0</v>
      </c>
      <c r="K134" s="76">
        <f t="shared" si="7"/>
        <v>0</v>
      </c>
      <c r="L134" s="76">
        <f t="shared" si="0"/>
        <v>0</v>
      </c>
      <c r="M134" s="77">
        <f t="shared" si="1"/>
        <v>0</v>
      </c>
      <c r="N134" s="20"/>
    </row>
    <row r="135" spans="1:14" ht="20" customHeight="1" x14ac:dyDescent="0.3">
      <c r="A135" s="21"/>
      <c r="B135" s="75">
        <v>17</v>
      </c>
      <c r="C135" s="236"/>
      <c r="D135" s="237"/>
      <c r="E135" s="237"/>
      <c r="F135" s="237"/>
      <c r="G135" s="237"/>
      <c r="H135" s="237"/>
      <c r="I135" s="76">
        <f t="shared" si="5"/>
        <v>0</v>
      </c>
      <c r="J135" s="76">
        <f t="shared" si="6"/>
        <v>0</v>
      </c>
      <c r="K135" s="76">
        <f t="shared" si="7"/>
        <v>0</v>
      </c>
      <c r="L135" s="76">
        <f t="shared" si="0"/>
        <v>0</v>
      </c>
      <c r="M135" s="77">
        <f t="shared" si="1"/>
        <v>0</v>
      </c>
      <c r="N135" s="20"/>
    </row>
    <row r="136" spans="1:14" ht="20" customHeight="1" x14ac:dyDescent="0.3">
      <c r="A136" s="21"/>
      <c r="B136" s="75">
        <v>18</v>
      </c>
      <c r="C136" s="236"/>
      <c r="D136" s="237"/>
      <c r="E136" s="237"/>
      <c r="F136" s="237"/>
      <c r="G136" s="237"/>
      <c r="H136" s="237"/>
      <c r="I136" s="76">
        <f t="shared" si="5"/>
        <v>0</v>
      </c>
      <c r="J136" s="76">
        <f t="shared" si="6"/>
        <v>0</v>
      </c>
      <c r="K136" s="76">
        <f t="shared" si="7"/>
        <v>0</v>
      </c>
      <c r="L136" s="76">
        <f t="shared" si="0"/>
        <v>0</v>
      </c>
      <c r="M136" s="77">
        <f t="shared" si="1"/>
        <v>0</v>
      </c>
      <c r="N136" s="20"/>
    </row>
    <row r="137" spans="1:14" ht="20" customHeight="1" x14ac:dyDescent="0.3">
      <c r="A137" s="21"/>
      <c r="B137" s="75">
        <v>19</v>
      </c>
      <c r="C137" s="236"/>
      <c r="D137" s="237"/>
      <c r="E137" s="237"/>
      <c r="F137" s="237"/>
      <c r="G137" s="237"/>
      <c r="H137" s="237"/>
      <c r="I137" s="76">
        <f t="shared" si="5"/>
        <v>0</v>
      </c>
      <c r="J137" s="76">
        <f t="shared" si="6"/>
        <v>0</v>
      </c>
      <c r="K137" s="76">
        <f t="shared" si="7"/>
        <v>0</v>
      </c>
      <c r="L137" s="76">
        <f t="shared" si="0"/>
        <v>0</v>
      </c>
      <c r="M137" s="77">
        <f t="shared" si="1"/>
        <v>0</v>
      </c>
      <c r="N137" s="20"/>
    </row>
    <row r="138" spans="1:14" ht="20" customHeight="1" x14ac:dyDescent="0.3">
      <c r="A138" s="21"/>
      <c r="B138" s="75">
        <v>20</v>
      </c>
      <c r="C138" s="236"/>
      <c r="D138" s="237"/>
      <c r="E138" s="237"/>
      <c r="F138" s="237"/>
      <c r="G138" s="237"/>
      <c r="H138" s="237"/>
      <c r="I138" s="76">
        <f t="shared" si="5"/>
        <v>0</v>
      </c>
      <c r="J138" s="76">
        <f t="shared" si="6"/>
        <v>0</v>
      </c>
      <c r="K138" s="76">
        <f t="shared" si="7"/>
        <v>0</v>
      </c>
      <c r="L138" s="76">
        <f t="shared" si="0"/>
        <v>0</v>
      </c>
      <c r="M138" s="77">
        <f t="shared" si="1"/>
        <v>0</v>
      </c>
      <c r="N138" s="20"/>
    </row>
    <row r="139" spans="1:14" ht="20" customHeight="1" x14ac:dyDescent="0.3">
      <c r="A139" s="21"/>
      <c r="B139" s="24"/>
      <c r="C139" s="24"/>
      <c r="D139" s="24"/>
      <c r="E139" s="35"/>
      <c r="F139" s="34"/>
      <c r="G139" s="34"/>
      <c r="H139" s="34"/>
      <c r="I139" s="24"/>
      <c r="J139" s="24"/>
      <c r="K139" s="24"/>
      <c r="L139" s="24"/>
      <c r="M139" s="34"/>
      <c r="N139" s="20"/>
    </row>
    <row r="140" spans="1:14" ht="20" customHeight="1" x14ac:dyDescent="0.3">
      <c r="A140" s="21"/>
      <c r="B140" s="86" t="s">
        <v>134</v>
      </c>
      <c r="C140" s="24"/>
      <c r="D140" s="24"/>
      <c r="E140" s="324"/>
      <c r="F140" s="325"/>
      <c r="G140" s="325"/>
      <c r="H140" s="325"/>
      <c r="I140" s="325"/>
      <c r="J140" s="325"/>
      <c r="K140" s="325"/>
      <c r="L140" s="325"/>
      <c r="M140" s="326"/>
      <c r="N140" s="20"/>
    </row>
    <row r="141" spans="1:14" ht="10" customHeight="1" x14ac:dyDescent="0.3">
      <c r="A141" s="21"/>
      <c r="B141" s="24"/>
      <c r="C141" s="24"/>
      <c r="D141" s="24"/>
      <c r="E141" s="35"/>
      <c r="F141" s="34"/>
      <c r="G141" s="34"/>
      <c r="H141" s="34"/>
      <c r="I141" s="24"/>
      <c r="J141" s="24"/>
      <c r="K141" s="24"/>
      <c r="L141" s="24"/>
      <c r="M141" s="34"/>
      <c r="N141" s="20"/>
    </row>
    <row r="142" spans="1:14" ht="35" customHeight="1" x14ac:dyDescent="0.3">
      <c r="A142" s="21"/>
      <c r="B142" s="264" t="str">
        <f>IF(L1055=0,"","go to my Responsiveness Report")</f>
        <v/>
      </c>
      <c r="C142" s="264"/>
      <c r="D142" s="264"/>
      <c r="E142" s="264"/>
      <c r="F142" s="264"/>
      <c r="G142" s="264"/>
      <c r="H142" s="264"/>
      <c r="I142" s="264"/>
      <c r="J142" s="264"/>
      <c r="K142" s="264"/>
      <c r="L142" s="264"/>
      <c r="M142" s="264"/>
      <c r="N142" s="20"/>
    </row>
    <row r="143" spans="1:14" ht="20" customHeight="1" x14ac:dyDescent="0.3">
      <c r="A143" s="21"/>
      <c r="B143" s="24"/>
      <c r="C143" s="24"/>
      <c r="D143" s="24"/>
      <c r="E143" s="35"/>
      <c r="F143" s="34"/>
      <c r="G143" s="34"/>
      <c r="H143" s="34"/>
      <c r="I143" s="24"/>
      <c r="J143" s="24"/>
      <c r="K143" s="24"/>
      <c r="L143" s="24"/>
      <c r="M143" s="34"/>
      <c r="N143" s="20"/>
    </row>
    <row r="144" spans="1:14" ht="30" customHeight="1" x14ac:dyDescent="0.3">
      <c r="A144" s="47"/>
      <c r="B144" s="123">
        <v>1</v>
      </c>
      <c r="C144" s="182" t="str">
        <f>IF(C119="","Invitee 01",CONCATENATE(C119," ",F119))</f>
        <v>Invitee 01</v>
      </c>
      <c r="D144" s="182"/>
      <c r="E144" s="182"/>
      <c r="F144" s="182"/>
      <c r="G144" s="182"/>
      <c r="H144" s="182"/>
      <c r="I144" s="182"/>
      <c r="J144" s="182"/>
      <c r="K144" s="182"/>
      <c r="L144" s="206">
        <f>M119</f>
        <v>0</v>
      </c>
      <c r="M144" s="206">
        <f>M119</f>
        <v>0</v>
      </c>
      <c r="N144" s="48"/>
    </row>
    <row r="145" spans="1:14" ht="20" customHeight="1" x14ac:dyDescent="0.3">
      <c r="A145" s="21"/>
      <c r="B145" s="24"/>
      <c r="C145" s="56" t="s">
        <v>104</v>
      </c>
      <c r="D145" s="56"/>
      <c r="E145" s="57"/>
      <c r="F145" s="83" t="s">
        <v>105</v>
      </c>
      <c r="G145" s="56"/>
      <c r="H145" s="56"/>
      <c r="I145" s="83" t="s">
        <v>106</v>
      </c>
      <c r="J145" s="83"/>
      <c r="K145" s="83"/>
      <c r="L145" s="56" t="s">
        <v>107</v>
      </c>
      <c r="M145" s="56"/>
      <c r="N145" s="20"/>
    </row>
    <row r="146" spans="1:14" ht="20" customHeight="1" x14ac:dyDescent="0.3">
      <c r="A146" s="21"/>
      <c r="B146" s="24"/>
      <c r="C146" s="218"/>
      <c r="D146" s="219"/>
      <c r="E146" s="220"/>
      <c r="F146" s="221"/>
      <c r="G146" s="222"/>
      <c r="H146" s="223"/>
      <c r="I146" s="224"/>
      <c r="J146" s="225"/>
      <c r="K146" s="225"/>
      <c r="L146" s="218"/>
      <c r="M146" s="220"/>
      <c r="N146" s="20"/>
    </row>
    <row r="147" spans="1:14" ht="20" customHeight="1" x14ac:dyDescent="0.3">
      <c r="A147" s="21"/>
      <c r="B147" s="41" t="str">
        <f>IF(C119="","A.  Inviting contact to express their need",CONCATENATE("A.  Inviting ",C119," to express their need"))</f>
        <v>A.  Inviting contact to express their need</v>
      </c>
      <c r="C147" s="36"/>
      <c r="D147" s="36"/>
      <c r="E147" s="36"/>
      <c r="F147" s="36"/>
      <c r="G147" s="36"/>
      <c r="H147" s="36"/>
      <c r="I147" s="40"/>
      <c r="J147" s="36"/>
      <c r="K147" s="36"/>
      <c r="L147" s="36"/>
      <c r="M147" s="46" t="str">
        <f>IF(OR(L149="",K151=""),"",I119)</f>
        <v/>
      </c>
      <c r="N147" s="20"/>
    </row>
    <row r="148" spans="1:14" ht="20" customHeight="1" x14ac:dyDescent="0.3">
      <c r="A148" s="21"/>
      <c r="B148" s="41"/>
      <c r="C148" s="24" t="s">
        <v>22</v>
      </c>
      <c r="D148" s="24"/>
      <c r="E148" s="42" t="s">
        <v>25</v>
      </c>
      <c r="F148" s="34" t="s">
        <v>24</v>
      </c>
      <c r="G148" s="34"/>
      <c r="H148" s="34" t="s">
        <v>30</v>
      </c>
      <c r="I148" s="24" t="s">
        <v>23</v>
      </c>
      <c r="J148" s="24"/>
      <c r="K148" s="24"/>
      <c r="L148" s="231" t="s">
        <v>29</v>
      </c>
      <c r="M148" s="231"/>
      <c r="N148" s="20"/>
    </row>
    <row r="149" spans="1:14" ht="20" customHeight="1" x14ac:dyDescent="0.3">
      <c r="A149" s="21"/>
      <c r="B149" s="23"/>
      <c r="C149" s="200"/>
      <c r="D149" s="202"/>
      <c r="E149" s="33"/>
      <c r="F149" s="200"/>
      <c r="G149" s="202"/>
      <c r="H149" s="33"/>
      <c r="I149" s="200"/>
      <c r="J149" s="202"/>
      <c r="K149" s="85"/>
      <c r="L149" s="203"/>
      <c r="M149" s="204"/>
      <c r="N149" s="20"/>
    </row>
    <row r="150" spans="1:14" ht="60" customHeight="1" x14ac:dyDescent="0.3">
      <c r="A150" s="21"/>
      <c r="B150" s="36"/>
      <c r="C150" s="207" t="str">
        <f>IF(C119="", "Their expressed need:",CONCATENATE(C119,"'s expressed need:"))</f>
        <v>Their expressed need:</v>
      </c>
      <c r="D150" s="208"/>
      <c r="E150" s="209"/>
      <c r="F150" s="210"/>
      <c r="G150" s="210"/>
      <c r="H150" s="210"/>
      <c r="I150" s="210"/>
      <c r="J150" s="210"/>
      <c r="K150" s="210"/>
      <c r="L150" s="210"/>
      <c r="M150" s="211"/>
      <c r="N150" s="20"/>
    </row>
    <row r="151" spans="1:14" ht="20" customHeight="1" x14ac:dyDescent="0.3">
      <c r="A151" s="21"/>
      <c r="B151" s="36"/>
      <c r="C151" s="25"/>
      <c r="D151" s="84" t="s">
        <v>73</v>
      </c>
      <c r="E151" s="258"/>
      <c r="F151" s="259"/>
      <c r="G151" s="259"/>
      <c r="H151" s="260"/>
      <c r="I151" s="25"/>
      <c r="J151" s="44" t="s">
        <v>72</v>
      </c>
      <c r="K151" s="233"/>
      <c r="L151" s="234"/>
      <c r="M151" s="235"/>
      <c r="N151" s="20"/>
    </row>
    <row r="152" spans="1:14" ht="25" customHeight="1" x14ac:dyDescent="0.3">
      <c r="A152" s="21"/>
      <c r="B152" s="41" t="str">
        <f>IF(C119="","B.  Honoring invitee's expressed need",CONCATENATE("B.  Honoring ",C119,"'s expressed need"))</f>
        <v>B.  Honoring invitee's expressed need</v>
      </c>
      <c r="C152" s="36"/>
      <c r="D152" s="36"/>
      <c r="E152" s="36"/>
      <c r="F152" s="36"/>
      <c r="G152" s="36"/>
      <c r="H152" s="36"/>
      <c r="I152" s="40"/>
      <c r="J152" s="36"/>
      <c r="K152" s="36"/>
      <c r="L152" s="36"/>
      <c r="M152" s="46" t="str">
        <f>IF(G155="","",J119)</f>
        <v/>
      </c>
      <c r="N152" s="20"/>
    </row>
    <row r="153" spans="1:14" ht="45" customHeight="1" x14ac:dyDescent="0.3">
      <c r="A153" s="21"/>
      <c r="B153" s="36"/>
      <c r="C153" s="215" t="str">
        <f>IF(C119="","Honoring invitee's expressed need",CONCATENATE("Honoring ",C119,"'s expressed need"))</f>
        <v>Honoring invitee's expressed need</v>
      </c>
      <c r="D153" s="226"/>
      <c r="E153" s="226"/>
      <c r="F153" s="185"/>
      <c r="G153" s="186"/>
      <c r="H153" s="186"/>
      <c r="I153" s="186"/>
      <c r="J153" s="186"/>
      <c r="K153" s="186"/>
      <c r="L153" s="186"/>
      <c r="M153" s="187"/>
      <c r="N153" s="20"/>
    </row>
    <row r="154" spans="1:14" ht="45" customHeight="1" x14ac:dyDescent="0.3">
      <c r="A154" s="21"/>
      <c r="B154" s="36"/>
      <c r="C154" s="226" t="str">
        <f>IF(C119="","Invitee's feedback to my efforts",CONCATENATE(C119,"'s feedback to my efforts"))</f>
        <v>Invitee's feedback to my efforts</v>
      </c>
      <c r="D154" s="226"/>
      <c r="E154" s="226"/>
      <c r="F154" s="185"/>
      <c r="G154" s="186"/>
      <c r="H154" s="186"/>
      <c r="I154" s="186"/>
      <c r="J154" s="186"/>
      <c r="K154" s="186"/>
      <c r="L154" s="186"/>
      <c r="M154" s="187"/>
      <c r="N154" s="20"/>
    </row>
    <row r="155" spans="1:14" ht="20" customHeight="1" x14ac:dyDescent="0.3">
      <c r="A155" s="21"/>
      <c r="B155" s="36"/>
      <c r="C155" s="188" t="str">
        <f>IF(C119="","Their satisfaction level ",CONCATENATE(C119,"'s satisfaction level "))</f>
        <v xml:space="preserve">Their satisfaction level </v>
      </c>
      <c r="D155" s="188"/>
      <c r="E155" s="188"/>
      <c r="F155" s="188"/>
      <c r="G155" s="190"/>
      <c r="H155" s="191"/>
      <c r="I155" s="192"/>
      <c r="J155" s="229" t="str">
        <f>IF(C119="","Their emotional response ",CONCATENATE(C119,"'s emotional response "))</f>
        <v xml:space="preserve">Their emotional response </v>
      </c>
      <c r="K155" s="229"/>
      <c r="L155" s="230"/>
      <c r="M155" s="43"/>
      <c r="N155" s="20"/>
    </row>
    <row r="156" spans="1:14" ht="20" customHeight="1" x14ac:dyDescent="0.3">
      <c r="A156" s="21"/>
      <c r="B156" s="36"/>
      <c r="C156" s="39"/>
      <c r="D156" s="39"/>
      <c r="E156" s="39"/>
      <c r="F156" s="39"/>
      <c r="G156" s="39"/>
      <c r="H156" s="39"/>
      <c r="I156" s="39"/>
      <c r="J156" s="39"/>
      <c r="K156" s="39"/>
      <c r="L156" s="39"/>
      <c r="M156" s="39"/>
      <c r="N156" s="20"/>
    </row>
    <row r="157" spans="1:14" ht="25" customHeight="1" x14ac:dyDescent="0.3">
      <c r="A157" s="21"/>
      <c r="B157" s="41" t="str">
        <f>IF(C119="","C.  My expressed need to ask this invitee",CONCATENATE("C.  My expressed need to ask ",C119))</f>
        <v>C.  My expressed need to ask this invitee</v>
      </c>
      <c r="C157" s="38"/>
      <c r="D157" s="38"/>
      <c r="E157" s="38"/>
      <c r="F157" s="37"/>
      <c r="G157" s="37"/>
      <c r="H157" s="37"/>
      <c r="I157" s="37"/>
      <c r="J157" s="37"/>
      <c r="K157" s="37"/>
      <c r="L157" s="37"/>
      <c r="M157" s="49" t="str">
        <f>IF(OR(G161="",M161=""),"",K119)</f>
        <v/>
      </c>
      <c r="N157" s="20"/>
    </row>
    <row r="158" spans="1:14" ht="45" customHeight="1" x14ac:dyDescent="0.3">
      <c r="A158" s="21"/>
      <c r="B158" s="52" t="s">
        <v>87</v>
      </c>
      <c r="C158" s="183" t="str">
        <f>IF(C119="","Affirming this invitee",CONCATENATE("Affirming ",C119))</f>
        <v>Affirming this invitee</v>
      </c>
      <c r="D158" s="183"/>
      <c r="E158" s="183"/>
      <c r="F158" s="185" t="s">
        <v>89</v>
      </c>
      <c r="G158" s="186"/>
      <c r="H158" s="186"/>
      <c r="I158" s="186"/>
      <c r="J158" s="186"/>
      <c r="K158" s="186"/>
      <c r="L158" s="186"/>
      <c r="M158" s="232"/>
      <c r="N158" s="20"/>
    </row>
    <row r="159" spans="1:14" ht="45" customHeight="1" x14ac:dyDescent="0.3">
      <c r="A159" s="21"/>
      <c r="B159" s="53" t="s">
        <v>88</v>
      </c>
      <c r="C159" s="183" t="str">
        <f>IF(C119="","My need this invitee could respect",CONCATENATE("My need ",C119," could respect"))</f>
        <v>My need this invitee could respect</v>
      </c>
      <c r="D159" s="183"/>
      <c r="E159" s="183"/>
      <c r="F159" s="185" t="s">
        <v>155</v>
      </c>
      <c r="G159" s="186"/>
      <c r="H159" s="186"/>
      <c r="I159" s="186"/>
      <c r="J159" s="186"/>
      <c r="K159" s="186"/>
      <c r="L159" s="186"/>
      <c r="M159" s="187"/>
      <c r="N159" s="20"/>
    </row>
    <row r="160" spans="1:14" ht="45" customHeight="1" x14ac:dyDescent="0.3">
      <c r="A160" s="21"/>
      <c r="B160" s="52" t="s">
        <v>87</v>
      </c>
      <c r="C160" s="183" t="str">
        <f>IF(C119="","Mutuality with this invitee",CONCATENATE("Mutuality with ",C119))</f>
        <v>Mutuality with this invitee</v>
      </c>
      <c r="D160" s="183"/>
      <c r="E160" s="183"/>
      <c r="F160" s="185" t="s">
        <v>90</v>
      </c>
      <c r="G160" s="186"/>
      <c r="H160" s="186"/>
      <c r="I160" s="186"/>
      <c r="J160" s="186"/>
      <c r="K160" s="186"/>
      <c r="L160" s="186"/>
      <c r="M160" s="187"/>
      <c r="N160" s="20"/>
    </row>
    <row r="161" spans="1:14" ht="20" customHeight="1" x14ac:dyDescent="0.3">
      <c r="A161" s="21"/>
      <c r="B161" s="36"/>
      <c r="C161" s="188" t="str">
        <f>IF(C119="","Their receptive level ",CONCATENATE(C119,"'s receptive level "))</f>
        <v xml:space="preserve">Their receptive level </v>
      </c>
      <c r="D161" s="188"/>
      <c r="E161" s="188"/>
      <c r="F161" s="188"/>
      <c r="G161" s="190"/>
      <c r="H161" s="191"/>
      <c r="I161" s="192"/>
      <c r="J161" s="194" t="str">
        <f>IF(C119="","Their responsiveness ",CONCATENATE(C119,"'s responsiveness "))</f>
        <v xml:space="preserve">Their responsiveness </v>
      </c>
      <c r="K161" s="194"/>
      <c r="L161" s="195"/>
      <c r="M161" s="51"/>
      <c r="N161" s="20"/>
    </row>
    <row r="162" spans="1:14" ht="20" customHeight="1" x14ac:dyDescent="0.3">
      <c r="A162" s="21"/>
      <c r="B162" s="36"/>
      <c r="C162" s="22"/>
      <c r="D162" s="22"/>
      <c r="E162" s="22"/>
      <c r="F162" s="22"/>
      <c r="G162" s="22"/>
      <c r="H162" s="22"/>
      <c r="I162" s="22"/>
      <c r="J162" s="22"/>
      <c r="K162" s="22"/>
      <c r="L162" s="22"/>
      <c r="M162" s="22"/>
      <c r="N162" s="20"/>
    </row>
    <row r="163" spans="1:14" ht="25" customHeight="1" x14ac:dyDescent="0.3">
      <c r="A163" s="21"/>
      <c r="B163" s="41" t="str">
        <f>IF(C119="","D.  Interest in my potential wellness campaign",CONCATENATE("D.  ",C119,"'s interest in my potential wellness campaign"))</f>
        <v>D.  Interest in my potential wellness campaign</v>
      </c>
      <c r="C163" s="39"/>
      <c r="D163" s="39"/>
      <c r="E163" s="39"/>
      <c r="F163" s="39"/>
      <c r="G163" s="39"/>
      <c r="H163" s="39"/>
      <c r="I163" s="39"/>
      <c r="J163" s="39"/>
      <c r="K163" s="39"/>
      <c r="L163" s="39"/>
      <c r="M163" s="49" t="str">
        <f>IF(OR(C166="",I166="",L166=""),"",L119)</f>
        <v/>
      </c>
      <c r="N163" s="20"/>
    </row>
    <row r="164" spans="1:14" ht="20" customHeight="1" x14ac:dyDescent="0.3">
      <c r="A164" s="21"/>
      <c r="B164" s="36"/>
      <c r="C164" s="39"/>
      <c r="D164" s="39"/>
      <c r="E164" s="50" t="s">
        <v>96</v>
      </c>
      <c r="F164" s="196" t="str">
        <f>IF(OR(E140=0,E140=""),"",E140)</f>
        <v/>
      </c>
      <c r="G164" s="197"/>
      <c r="H164" s="197"/>
      <c r="I164" s="197"/>
      <c r="J164" s="197"/>
      <c r="K164" s="197"/>
      <c r="L164" s="197"/>
      <c r="M164" s="198"/>
      <c r="N164" s="20"/>
    </row>
    <row r="165" spans="1:14" ht="20" customHeight="1" x14ac:dyDescent="0.3">
      <c r="A165" s="21"/>
      <c r="B165" s="36"/>
      <c r="C165" s="24" t="s">
        <v>22</v>
      </c>
      <c r="D165" s="24"/>
      <c r="E165" s="42" t="s">
        <v>25</v>
      </c>
      <c r="F165" s="34" t="s">
        <v>24</v>
      </c>
      <c r="G165" s="34"/>
      <c r="H165" s="34" t="s">
        <v>30</v>
      </c>
      <c r="I165" s="24" t="s">
        <v>23</v>
      </c>
      <c r="J165" s="24"/>
      <c r="K165" s="24"/>
      <c r="L165" s="231" t="s">
        <v>29</v>
      </c>
      <c r="M165" s="231"/>
      <c r="N165" s="20"/>
    </row>
    <row r="166" spans="1:14" ht="20" customHeight="1" x14ac:dyDescent="0.3">
      <c r="A166" s="21"/>
      <c r="B166" s="36"/>
      <c r="C166" s="200"/>
      <c r="D166" s="202"/>
      <c r="E166" s="33"/>
      <c r="F166" s="200"/>
      <c r="G166" s="202"/>
      <c r="H166" s="33"/>
      <c r="I166" s="200"/>
      <c r="J166" s="202"/>
      <c r="K166" s="43"/>
      <c r="L166" s="203"/>
      <c r="M166" s="204"/>
      <c r="N166" s="20"/>
    </row>
    <row r="167" spans="1:14" ht="20" customHeight="1" x14ac:dyDescent="0.3">
      <c r="A167" s="21"/>
      <c r="B167" s="36"/>
      <c r="C167" s="39"/>
      <c r="D167" s="39"/>
      <c r="E167" s="39"/>
      <c r="F167" s="39"/>
      <c r="G167" s="39"/>
      <c r="H167" s="179" t="str">
        <f>AI1077</f>
        <v/>
      </c>
      <c r="I167" s="179"/>
      <c r="J167" s="179"/>
      <c r="K167" s="179"/>
      <c r="L167" s="179"/>
      <c r="M167" s="179"/>
      <c r="N167" s="20"/>
    </row>
    <row r="168" spans="1:14" ht="30" customHeight="1" x14ac:dyDescent="0.3">
      <c r="A168" s="47"/>
      <c r="B168" s="123">
        <v>2</v>
      </c>
      <c r="C168" s="182" t="str">
        <f>IF(C120="","Invitee 02",CONCATENATE(C120," ",F120))</f>
        <v>Invitee 02</v>
      </c>
      <c r="D168" s="182"/>
      <c r="E168" s="182"/>
      <c r="F168" s="182"/>
      <c r="G168" s="182"/>
      <c r="H168" s="182"/>
      <c r="I168" s="182"/>
      <c r="J168" s="182"/>
      <c r="K168" s="182"/>
      <c r="L168" s="206">
        <f>M120</f>
        <v>0</v>
      </c>
      <c r="M168" s="206"/>
      <c r="N168" s="48"/>
    </row>
    <row r="169" spans="1:14" ht="20" customHeight="1" x14ac:dyDescent="0.3">
      <c r="A169" s="21"/>
      <c r="B169" s="24"/>
      <c r="C169" s="56" t="s">
        <v>104</v>
      </c>
      <c r="D169" s="56"/>
      <c r="E169" s="57"/>
      <c r="F169" s="83" t="s">
        <v>105</v>
      </c>
      <c r="G169" s="56"/>
      <c r="H169" s="56"/>
      <c r="I169" s="83" t="s">
        <v>106</v>
      </c>
      <c r="J169" s="83"/>
      <c r="K169" s="83"/>
      <c r="L169" s="56" t="s">
        <v>107</v>
      </c>
      <c r="M169" s="56"/>
      <c r="N169" s="20"/>
    </row>
    <row r="170" spans="1:14" ht="20" customHeight="1" x14ac:dyDescent="0.3">
      <c r="A170" s="21"/>
      <c r="B170" s="24"/>
      <c r="C170" s="218"/>
      <c r="D170" s="219"/>
      <c r="E170" s="220"/>
      <c r="F170" s="221"/>
      <c r="G170" s="222"/>
      <c r="H170" s="223"/>
      <c r="I170" s="224"/>
      <c r="J170" s="225"/>
      <c r="K170" s="225"/>
      <c r="L170" s="218"/>
      <c r="M170" s="220"/>
      <c r="N170" s="20"/>
    </row>
    <row r="171" spans="1:14" ht="20" customHeight="1" x14ac:dyDescent="0.3">
      <c r="A171" s="21"/>
      <c r="B171" s="41" t="str">
        <f>IF(C120="","A.  Inviting contact to express their need",CONCATENATE("A.  Inviting ",C120," to express their need"))</f>
        <v>A.  Inviting contact to express their need</v>
      </c>
      <c r="C171" s="36"/>
      <c r="D171" s="36"/>
      <c r="E171" s="36"/>
      <c r="F171" s="36"/>
      <c r="G171" s="36"/>
      <c r="H171" s="36"/>
      <c r="I171" s="40"/>
      <c r="J171" s="36"/>
      <c r="K171" s="36"/>
      <c r="L171" s="36"/>
      <c r="M171" s="46" t="str">
        <f>IF(OR(L173="",K175=""),"",I120)</f>
        <v/>
      </c>
      <c r="N171" s="20"/>
    </row>
    <row r="172" spans="1:14" ht="20" customHeight="1" x14ac:dyDescent="0.3">
      <c r="A172" s="21"/>
      <c r="B172" s="41"/>
      <c r="C172" s="24" t="s">
        <v>22</v>
      </c>
      <c r="D172" s="24"/>
      <c r="E172" s="42" t="s">
        <v>25</v>
      </c>
      <c r="F172" s="34" t="s">
        <v>24</v>
      </c>
      <c r="G172" s="34"/>
      <c r="H172" s="34" t="s">
        <v>30</v>
      </c>
      <c r="I172" s="24" t="s">
        <v>23</v>
      </c>
      <c r="J172" s="24"/>
      <c r="K172" s="24"/>
      <c r="L172" s="231" t="s">
        <v>29</v>
      </c>
      <c r="M172" s="231"/>
      <c r="N172" s="20"/>
    </row>
    <row r="173" spans="1:14" ht="20" customHeight="1" x14ac:dyDescent="0.3">
      <c r="A173" s="21"/>
      <c r="B173" s="23"/>
      <c r="C173" s="200"/>
      <c r="D173" s="202"/>
      <c r="E173" s="33"/>
      <c r="F173" s="200"/>
      <c r="G173" s="202"/>
      <c r="H173" s="33"/>
      <c r="I173" s="200"/>
      <c r="J173" s="202"/>
      <c r="K173" s="43"/>
      <c r="L173" s="203"/>
      <c r="M173" s="204"/>
      <c r="N173" s="20"/>
    </row>
    <row r="174" spans="1:14" ht="60" customHeight="1" x14ac:dyDescent="0.3">
      <c r="A174" s="21"/>
      <c r="B174" s="36"/>
      <c r="C174" s="207" t="str">
        <f>IF(C120="", "Their expressed need:",CONCATENATE(C120,"'s expressed need:"))</f>
        <v>Their expressed need:</v>
      </c>
      <c r="D174" s="208"/>
      <c r="E174" s="209"/>
      <c r="F174" s="210"/>
      <c r="G174" s="210"/>
      <c r="H174" s="210"/>
      <c r="I174" s="210"/>
      <c r="J174" s="210"/>
      <c r="K174" s="210"/>
      <c r="L174" s="210"/>
      <c r="M174" s="211"/>
      <c r="N174" s="20"/>
    </row>
    <row r="175" spans="1:14" ht="20" customHeight="1" x14ac:dyDescent="0.3">
      <c r="A175" s="21"/>
      <c r="B175" s="36"/>
      <c r="C175" s="25"/>
      <c r="D175" s="45" t="s">
        <v>73</v>
      </c>
      <c r="E175" s="233"/>
      <c r="F175" s="234"/>
      <c r="G175" s="234"/>
      <c r="H175" s="235"/>
      <c r="I175" s="25"/>
      <c r="J175" s="44" t="s">
        <v>72</v>
      </c>
      <c r="K175" s="233"/>
      <c r="L175" s="234"/>
      <c r="M175" s="235"/>
      <c r="N175" s="20"/>
    </row>
    <row r="176" spans="1:14" ht="25" customHeight="1" x14ac:dyDescent="0.3">
      <c r="A176" s="21"/>
      <c r="B176" s="41" t="str">
        <f>IF(C120="","B.  Honoring invitee's expressed need",CONCATENATE("B.  Honoring ",C120,"'s expressed need"))</f>
        <v>B.  Honoring invitee's expressed need</v>
      </c>
      <c r="C176" s="36"/>
      <c r="D176" s="36"/>
      <c r="E176" s="36"/>
      <c r="F176" s="36"/>
      <c r="G176" s="36"/>
      <c r="H176" s="36"/>
      <c r="I176" s="40"/>
      <c r="J176" s="36"/>
      <c r="K176" s="36"/>
      <c r="L176" s="36"/>
      <c r="M176" s="46" t="str">
        <f>IF(G179="","",J120)</f>
        <v/>
      </c>
      <c r="N176" s="20"/>
    </row>
    <row r="177" spans="1:14" ht="45" customHeight="1" x14ac:dyDescent="0.3">
      <c r="A177" s="21"/>
      <c r="B177" s="36"/>
      <c r="C177" s="215" t="str">
        <f>IF(C120="","Honoring invitee's expressed need",CONCATENATE("Honoring ",C120,"'s expressed need"))</f>
        <v>Honoring invitee's expressed need</v>
      </c>
      <c r="D177" s="226"/>
      <c r="E177" s="226"/>
      <c r="F177" s="185"/>
      <c r="G177" s="186"/>
      <c r="H177" s="186"/>
      <c r="I177" s="186"/>
      <c r="J177" s="186"/>
      <c r="K177" s="186"/>
      <c r="L177" s="186"/>
      <c r="M177" s="187"/>
      <c r="N177" s="20"/>
    </row>
    <row r="178" spans="1:14" ht="45" customHeight="1" x14ac:dyDescent="0.3">
      <c r="A178" s="21"/>
      <c r="B178" s="36"/>
      <c r="C178" s="226" t="str">
        <f>IF(C120="","Invitee's feedback to my efforts",CONCATENATE(C120,"'s feedback to my efforts"))</f>
        <v>Invitee's feedback to my efforts</v>
      </c>
      <c r="D178" s="226"/>
      <c r="E178" s="226"/>
      <c r="F178" s="185"/>
      <c r="G178" s="186"/>
      <c r="H178" s="186"/>
      <c r="I178" s="186"/>
      <c r="J178" s="186"/>
      <c r="K178" s="186"/>
      <c r="L178" s="186"/>
      <c r="M178" s="187"/>
      <c r="N178" s="20"/>
    </row>
    <row r="179" spans="1:14" ht="20" customHeight="1" x14ac:dyDescent="0.3">
      <c r="A179" s="21"/>
      <c r="B179" s="36"/>
      <c r="C179" s="188" t="str">
        <f>IF(C120="","Their satisfaction level ",CONCATENATE(C120,"'s satisfaction level "))</f>
        <v xml:space="preserve">Their satisfaction level </v>
      </c>
      <c r="D179" s="188"/>
      <c r="E179" s="188"/>
      <c r="F179" s="188"/>
      <c r="G179" s="190"/>
      <c r="H179" s="191"/>
      <c r="I179" s="192"/>
      <c r="J179" s="229" t="str">
        <f>IF(C120="","Their emotional response ",CONCATENATE(C120,"'s emotional response "))</f>
        <v xml:space="preserve">Their emotional response </v>
      </c>
      <c r="K179" s="229"/>
      <c r="L179" s="230"/>
      <c r="M179" s="43"/>
      <c r="N179" s="20"/>
    </row>
    <row r="180" spans="1:14" ht="20" customHeight="1" x14ac:dyDescent="0.3">
      <c r="A180" s="21"/>
      <c r="B180" s="36"/>
      <c r="C180" s="39"/>
      <c r="D180" s="39"/>
      <c r="E180" s="39"/>
      <c r="F180" s="39"/>
      <c r="G180" s="39"/>
      <c r="H180" s="39"/>
      <c r="I180" s="39"/>
      <c r="J180" s="39"/>
      <c r="K180" s="39"/>
      <c r="L180" s="39"/>
      <c r="M180" s="39"/>
      <c r="N180" s="20"/>
    </row>
    <row r="181" spans="1:14" ht="25" customHeight="1" x14ac:dyDescent="0.3">
      <c r="A181" s="21"/>
      <c r="B181" s="41" t="str">
        <f>IF(C120="","C.  My expressed need to ask this invitee",CONCATENATE("C.  My expressed need to ask ",C168))</f>
        <v>C.  My expressed need to ask this invitee</v>
      </c>
      <c r="C181" s="38"/>
      <c r="D181" s="38"/>
      <c r="E181" s="38"/>
      <c r="F181" s="37"/>
      <c r="G181" s="37"/>
      <c r="H181" s="37"/>
      <c r="I181" s="37"/>
      <c r="J181" s="37"/>
      <c r="K181" s="37"/>
      <c r="L181" s="37"/>
      <c r="M181" s="49" t="str">
        <f>IF(OR(G185="",M185=""),"",K120)</f>
        <v/>
      </c>
      <c r="N181" s="20"/>
    </row>
    <row r="182" spans="1:14" ht="45" customHeight="1" x14ac:dyDescent="0.3">
      <c r="A182" s="21"/>
      <c r="B182" s="52" t="s">
        <v>87</v>
      </c>
      <c r="C182" s="183" t="str">
        <f>IF(C120="","Affirming this invitee",CONCATENATE("Affirming ",C120))</f>
        <v>Affirming this invitee</v>
      </c>
      <c r="D182" s="183"/>
      <c r="E182" s="183"/>
      <c r="F182" s="185" t="s">
        <v>89</v>
      </c>
      <c r="G182" s="186"/>
      <c r="H182" s="186"/>
      <c r="I182" s="186"/>
      <c r="J182" s="186"/>
      <c r="K182" s="186"/>
      <c r="L182" s="186"/>
      <c r="M182" s="232"/>
      <c r="N182" s="20"/>
    </row>
    <row r="183" spans="1:14" ht="45" customHeight="1" x14ac:dyDescent="0.3">
      <c r="A183" s="21"/>
      <c r="B183" s="53" t="s">
        <v>88</v>
      </c>
      <c r="C183" s="183" t="str">
        <f>IF(C120="","My need this invitee could respect",CONCATENATE("My need ",C120," could respect"))</f>
        <v>My need this invitee could respect</v>
      </c>
      <c r="D183" s="183"/>
      <c r="E183" s="183"/>
      <c r="F183" s="185" t="s">
        <v>155</v>
      </c>
      <c r="G183" s="186"/>
      <c r="H183" s="186"/>
      <c r="I183" s="186"/>
      <c r="J183" s="186"/>
      <c r="K183" s="186"/>
      <c r="L183" s="186"/>
      <c r="M183" s="187"/>
      <c r="N183" s="20"/>
    </row>
    <row r="184" spans="1:14" ht="45" customHeight="1" x14ac:dyDescent="0.3">
      <c r="A184" s="21"/>
      <c r="B184" s="52" t="s">
        <v>87</v>
      </c>
      <c r="C184" s="183" t="str">
        <f>IF(C120="","Mutuality with this invitee",CONCATENATE("Mutuality with ",C120))</f>
        <v>Mutuality with this invitee</v>
      </c>
      <c r="D184" s="183"/>
      <c r="E184" s="183"/>
      <c r="F184" s="185" t="s">
        <v>90</v>
      </c>
      <c r="G184" s="186"/>
      <c r="H184" s="186"/>
      <c r="I184" s="186"/>
      <c r="J184" s="186"/>
      <c r="K184" s="186"/>
      <c r="L184" s="186"/>
      <c r="M184" s="187"/>
      <c r="N184" s="20"/>
    </row>
    <row r="185" spans="1:14" ht="20" customHeight="1" x14ac:dyDescent="0.3">
      <c r="A185" s="21"/>
      <c r="B185" s="36"/>
      <c r="C185" s="188" t="str">
        <f>IF(C120="","Their receptive level ",CONCATENATE(C120,"'s receptive level "))</f>
        <v xml:space="preserve">Their receptive level </v>
      </c>
      <c r="D185" s="188"/>
      <c r="E185" s="188"/>
      <c r="F185" s="188"/>
      <c r="G185" s="190"/>
      <c r="H185" s="191"/>
      <c r="I185" s="192"/>
      <c r="J185" s="194" t="str">
        <f>IF(C120="","Their responsiveness ",CONCATENATE(C120,"'s responsiveness "))</f>
        <v xml:space="preserve">Their responsiveness </v>
      </c>
      <c r="K185" s="194"/>
      <c r="L185" s="195"/>
      <c r="M185" s="51"/>
      <c r="N185" s="20"/>
    </row>
    <row r="186" spans="1:14" ht="20" customHeight="1" x14ac:dyDescent="0.3">
      <c r="A186" s="21"/>
      <c r="B186" s="36"/>
      <c r="C186" s="22"/>
      <c r="D186" s="22"/>
      <c r="E186" s="22"/>
      <c r="F186" s="22"/>
      <c r="G186" s="22"/>
      <c r="H186" s="22"/>
      <c r="I186" s="22"/>
      <c r="J186" s="22"/>
      <c r="K186" s="22"/>
      <c r="L186" s="22"/>
      <c r="M186" s="22"/>
      <c r="N186" s="20"/>
    </row>
    <row r="187" spans="1:14" ht="25" customHeight="1" x14ac:dyDescent="0.3">
      <c r="A187" s="21"/>
      <c r="B187" s="41" t="str">
        <f>IF(C120="","D.  Interest in my potential wellness campaign",CONCATENATE("D.  ",C120,"'s interest in my potential wellness campaign"))</f>
        <v>D.  Interest in my potential wellness campaign</v>
      </c>
      <c r="C187" s="39"/>
      <c r="D187" s="39"/>
      <c r="E187" s="39"/>
      <c r="F187" s="39"/>
      <c r="G187" s="39"/>
      <c r="H187" s="39"/>
      <c r="I187" s="39"/>
      <c r="J187" s="39"/>
      <c r="K187" s="39"/>
      <c r="L187" s="39"/>
      <c r="M187" s="49" t="str">
        <f>IF(OR(C190="",I190="",L190=""),"",L120)</f>
        <v/>
      </c>
      <c r="N187" s="20"/>
    </row>
    <row r="188" spans="1:14" ht="20" customHeight="1" x14ac:dyDescent="0.3">
      <c r="A188" s="21"/>
      <c r="B188" s="36"/>
      <c r="C188" s="39"/>
      <c r="D188" s="39"/>
      <c r="E188" s="50" t="s">
        <v>96</v>
      </c>
      <c r="F188" s="196" t="str">
        <f>IF(F164="","",F164)</f>
        <v/>
      </c>
      <c r="G188" s="197"/>
      <c r="H188" s="197"/>
      <c r="I188" s="197"/>
      <c r="J188" s="197"/>
      <c r="K188" s="197"/>
      <c r="L188" s="197"/>
      <c r="M188" s="198"/>
      <c r="N188" s="20"/>
    </row>
    <row r="189" spans="1:14" ht="20" customHeight="1" x14ac:dyDescent="0.3">
      <c r="A189" s="21"/>
      <c r="B189" s="36"/>
      <c r="C189" s="24" t="s">
        <v>22</v>
      </c>
      <c r="D189" s="24"/>
      <c r="E189" s="42" t="s">
        <v>25</v>
      </c>
      <c r="F189" s="34" t="s">
        <v>24</v>
      </c>
      <c r="G189" s="34"/>
      <c r="H189" s="34" t="s">
        <v>30</v>
      </c>
      <c r="I189" s="24" t="s">
        <v>23</v>
      </c>
      <c r="J189" s="24"/>
      <c r="K189" s="24"/>
      <c r="L189" s="231" t="s">
        <v>29</v>
      </c>
      <c r="M189" s="231"/>
      <c r="N189" s="20"/>
    </row>
    <row r="190" spans="1:14" ht="20" customHeight="1" x14ac:dyDescent="0.3">
      <c r="A190" s="21"/>
      <c r="B190" s="36"/>
      <c r="C190" s="200"/>
      <c r="D190" s="202"/>
      <c r="E190" s="33"/>
      <c r="F190" s="200"/>
      <c r="G190" s="202"/>
      <c r="H190" s="33"/>
      <c r="I190" s="200"/>
      <c r="J190" s="202"/>
      <c r="K190" s="43"/>
      <c r="L190" s="203"/>
      <c r="M190" s="204"/>
      <c r="N190" s="20"/>
    </row>
    <row r="191" spans="1:14" ht="20" customHeight="1" x14ac:dyDescent="0.3">
      <c r="A191" s="21"/>
      <c r="B191" s="36"/>
      <c r="C191" s="39"/>
      <c r="D191" s="39"/>
      <c r="E191" s="39"/>
      <c r="F191" s="39"/>
      <c r="G191" s="39"/>
      <c r="H191" s="179" t="str">
        <f>AI1078</f>
        <v/>
      </c>
      <c r="I191" s="179"/>
      <c r="J191" s="179"/>
      <c r="K191" s="179"/>
      <c r="L191" s="179"/>
      <c r="M191" s="179"/>
      <c r="N191" s="20"/>
    </row>
    <row r="192" spans="1:14" ht="30" customHeight="1" x14ac:dyDescent="0.3">
      <c r="A192" s="47"/>
      <c r="B192" s="123">
        <v>3</v>
      </c>
      <c r="C192" s="182" t="str">
        <f>IF(C121="","Invitee 03",CONCATENATE(C121," ",F121))</f>
        <v>Invitee 03</v>
      </c>
      <c r="D192" s="182"/>
      <c r="E192" s="182"/>
      <c r="F192" s="182"/>
      <c r="G192" s="182"/>
      <c r="H192" s="182"/>
      <c r="I192" s="182"/>
      <c r="J192" s="182"/>
      <c r="K192" s="182"/>
      <c r="L192" s="206">
        <f>M121</f>
        <v>0</v>
      </c>
      <c r="M192" s="206"/>
      <c r="N192" s="48"/>
    </row>
    <row r="193" spans="1:14" ht="20" customHeight="1" x14ac:dyDescent="0.3">
      <c r="A193" s="21"/>
      <c r="B193" s="24"/>
      <c r="C193" s="56" t="s">
        <v>104</v>
      </c>
      <c r="D193" s="56"/>
      <c r="E193" s="57"/>
      <c r="F193" s="83" t="s">
        <v>105</v>
      </c>
      <c r="G193" s="56"/>
      <c r="H193" s="56"/>
      <c r="I193" s="83" t="s">
        <v>106</v>
      </c>
      <c r="J193" s="83"/>
      <c r="K193" s="83"/>
      <c r="L193" s="56" t="s">
        <v>107</v>
      </c>
      <c r="M193" s="56"/>
      <c r="N193" s="20"/>
    </row>
    <row r="194" spans="1:14" ht="20" customHeight="1" x14ac:dyDescent="0.3">
      <c r="A194" s="21"/>
      <c r="B194" s="24"/>
      <c r="C194" s="218"/>
      <c r="D194" s="219"/>
      <c r="E194" s="220"/>
      <c r="F194" s="221"/>
      <c r="G194" s="222"/>
      <c r="H194" s="223"/>
      <c r="I194" s="224"/>
      <c r="J194" s="225"/>
      <c r="K194" s="225"/>
      <c r="L194" s="218"/>
      <c r="M194" s="220"/>
      <c r="N194" s="20"/>
    </row>
    <row r="195" spans="1:14" ht="20" customHeight="1" x14ac:dyDescent="0.3">
      <c r="A195" s="21"/>
      <c r="B195" s="41" t="str">
        <f>IF(C121="","A.  Inviting contact to express their need",CONCATENATE("A.  Inviting ",C121," to express their need"))</f>
        <v>A.  Inviting contact to express their need</v>
      </c>
      <c r="C195" s="36"/>
      <c r="D195" s="36"/>
      <c r="E195" s="36"/>
      <c r="F195" s="36"/>
      <c r="G195" s="36"/>
      <c r="H195" s="36"/>
      <c r="I195" s="40"/>
      <c r="J195" s="36"/>
      <c r="K195" s="36"/>
      <c r="L195" s="36"/>
      <c r="M195" s="46" t="str">
        <f>IF(OR(L197="",K199=""),"",I121)</f>
        <v/>
      </c>
      <c r="N195" s="20"/>
    </row>
    <row r="196" spans="1:14" ht="20" customHeight="1" x14ac:dyDescent="0.3">
      <c r="A196" s="21"/>
      <c r="B196" s="41"/>
      <c r="C196" s="24" t="s">
        <v>22</v>
      </c>
      <c r="D196" s="24"/>
      <c r="E196" s="42" t="s">
        <v>25</v>
      </c>
      <c r="F196" s="34" t="s">
        <v>24</v>
      </c>
      <c r="G196" s="34"/>
      <c r="H196" s="34" t="s">
        <v>30</v>
      </c>
      <c r="I196" s="24" t="s">
        <v>23</v>
      </c>
      <c r="J196" s="24"/>
      <c r="K196" s="24"/>
      <c r="L196" s="231" t="s">
        <v>29</v>
      </c>
      <c r="M196" s="231"/>
      <c r="N196" s="20"/>
    </row>
    <row r="197" spans="1:14" ht="20" customHeight="1" x14ac:dyDescent="0.3">
      <c r="A197" s="21"/>
      <c r="B197" s="23"/>
      <c r="C197" s="200"/>
      <c r="D197" s="202"/>
      <c r="E197" s="33"/>
      <c r="F197" s="200"/>
      <c r="G197" s="202"/>
      <c r="H197" s="33"/>
      <c r="I197" s="200"/>
      <c r="J197" s="202"/>
      <c r="K197" s="43"/>
      <c r="L197" s="203"/>
      <c r="M197" s="204"/>
      <c r="N197" s="20"/>
    </row>
    <row r="198" spans="1:14" ht="60" customHeight="1" x14ac:dyDescent="0.3">
      <c r="A198" s="21"/>
      <c r="B198" s="36"/>
      <c r="C198" s="207" t="str">
        <f>IF(C121="", "Their expressed need:",CONCATENATE(C121,"'s expressed need:"))</f>
        <v>Their expressed need:</v>
      </c>
      <c r="D198" s="208"/>
      <c r="E198" s="209"/>
      <c r="F198" s="210"/>
      <c r="G198" s="210"/>
      <c r="H198" s="210"/>
      <c r="I198" s="210"/>
      <c r="J198" s="210"/>
      <c r="K198" s="210"/>
      <c r="L198" s="210"/>
      <c r="M198" s="211"/>
      <c r="N198" s="20"/>
    </row>
    <row r="199" spans="1:14" ht="20" customHeight="1" x14ac:dyDescent="0.3">
      <c r="A199" s="21"/>
      <c r="B199" s="36"/>
      <c r="C199" s="25"/>
      <c r="D199" s="45" t="s">
        <v>73</v>
      </c>
      <c r="E199" s="233"/>
      <c r="F199" s="234"/>
      <c r="G199" s="234"/>
      <c r="H199" s="235"/>
      <c r="I199" s="25"/>
      <c r="J199" s="44" t="s">
        <v>72</v>
      </c>
      <c r="K199" s="233"/>
      <c r="L199" s="234"/>
      <c r="M199" s="235"/>
      <c r="N199" s="20"/>
    </row>
    <row r="200" spans="1:14" ht="25" customHeight="1" x14ac:dyDescent="0.3">
      <c r="A200" s="21"/>
      <c r="B200" s="41" t="str">
        <f>IF(C121="","B.  Honoring invitee's expressed need",CONCATENATE("B.  Honoring ",C121,"'s expressed need"))</f>
        <v>B.  Honoring invitee's expressed need</v>
      </c>
      <c r="C200" s="36"/>
      <c r="D200" s="36"/>
      <c r="E200" s="36"/>
      <c r="F200" s="36"/>
      <c r="G200" s="36"/>
      <c r="H200" s="36"/>
      <c r="I200" s="40"/>
      <c r="J200" s="36"/>
      <c r="K200" s="36"/>
      <c r="L200" s="36"/>
      <c r="M200" s="46" t="str">
        <f>IF(G203="","",J121)</f>
        <v/>
      </c>
      <c r="N200" s="20"/>
    </row>
    <row r="201" spans="1:14" ht="45" customHeight="1" x14ac:dyDescent="0.3">
      <c r="A201" s="21"/>
      <c r="B201" s="36"/>
      <c r="C201" s="215" t="str">
        <f>IF(C121="","Honoring invitee's expressed need",CONCATENATE("Honoring ",C121,"'s expressed need"))</f>
        <v>Honoring invitee's expressed need</v>
      </c>
      <c r="D201" s="226"/>
      <c r="E201" s="226"/>
      <c r="F201" s="185"/>
      <c r="G201" s="186"/>
      <c r="H201" s="186"/>
      <c r="I201" s="186"/>
      <c r="J201" s="186"/>
      <c r="K201" s="186"/>
      <c r="L201" s="186"/>
      <c r="M201" s="187"/>
      <c r="N201" s="20"/>
    </row>
    <row r="202" spans="1:14" ht="45" customHeight="1" x14ac:dyDescent="0.3">
      <c r="A202" s="21"/>
      <c r="B202" s="36"/>
      <c r="C202" s="226" t="str">
        <f>IF(C121="","Invitee's feedback to my efforts",CONCATENATE(C121,"'s feedback to my efforts"))</f>
        <v>Invitee's feedback to my efforts</v>
      </c>
      <c r="D202" s="226"/>
      <c r="E202" s="226"/>
      <c r="F202" s="185"/>
      <c r="G202" s="186"/>
      <c r="H202" s="186"/>
      <c r="I202" s="186"/>
      <c r="J202" s="186"/>
      <c r="K202" s="186"/>
      <c r="L202" s="186"/>
      <c r="M202" s="187"/>
      <c r="N202" s="20"/>
    </row>
    <row r="203" spans="1:14" ht="20" customHeight="1" x14ac:dyDescent="0.3">
      <c r="A203" s="21"/>
      <c r="B203" s="36"/>
      <c r="C203" s="188" t="str">
        <f>IF(C121="","Their satisfaction level ",CONCATENATE(C121,"'s satisfaction level "))</f>
        <v xml:space="preserve">Their satisfaction level </v>
      </c>
      <c r="D203" s="188"/>
      <c r="E203" s="188"/>
      <c r="F203" s="188"/>
      <c r="G203" s="190"/>
      <c r="H203" s="191"/>
      <c r="I203" s="192"/>
      <c r="J203" s="229" t="str">
        <f>IF(C121="","Their emotional response ",CONCATENATE(C121,"'s emotional response "))</f>
        <v xml:space="preserve">Their emotional response </v>
      </c>
      <c r="K203" s="229"/>
      <c r="L203" s="230"/>
      <c r="M203" s="43"/>
      <c r="N203" s="20"/>
    </row>
    <row r="204" spans="1:14" ht="20" customHeight="1" x14ac:dyDescent="0.3">
      <c r="A204" s="21"/>
      <c r="B204" s="36"/>
      <c r="C204" s="39"/>
      <c r="D204" s="39"/>
      <c r="E204" s="39"/>
      <c r="F204" s="39"/>
      <c r="G204" s="39"/>
      <c r="H204" s="39"/>
      <c r="I204" s="39"/>
      <c r="J204" s="39"/>
      <c r="K204" s="39"/>
      <c r="L204" s="39"/>
      <c r="M204" s="39"/>
      <c r="N204" s="20"/>
    </row>
    <row r="205" spans="1:14" ht="25" customHeight="1" x14ac:dyDescent="0.3">
      <c r="A205" s="21"/>
      <c r="B205" s="41" t="str">
        <f>IF(C121="","C.  My expressed need to ask this invitee",CONCATENATE("C.  My expressed need to ask ",C121))</f>
        <v>C.  My expressed need to ask this invitee</v>
      </c>
      <c r="C205" s="38"/>
      <c r="D205" s="38"/>
      <c r="E205" s="38"/>
      <c r="F205" s="37"/>
      <c r="G205" s="37"/>
      <c r="H205" s="37"/>
      <c r="I205" s="37"/>
      <c r="J205" s="37"/>
      <c r="K205" s="37"/>
      <c r="L205" s="37"/>
      <c r="M205" s="49" t="str">
        <f>IF(OR(G209="",M209=""),"",K121)</f>
        <v/>
      </c>
      <c r="N205" s="20"/>
    </row>
    <row r="206" spans="1:14" ht="45" customHeight="1" x14ac:dyDescent="0.3">
      <c r="A206" s="21"/>
      <c r="B206" s="52" t="s">
        <v>87</v>
      </c>
      <c r="C206" s="183" t="str">
        <f>IF(C121="","Affirming this invitee",CONCATENATE("Affirming ",C121))</f>
        <v>Affirming this invitee</v>
      </c>
      <c r="D206" s="183"/>
      <c r="E206" s="183"/>
      <c r="F206" s="185" t="s">
        <v>89</v>
      </c>
      <c r="G206" s="186"/>
      <c r="H206" s="186"/>
      <c r="I206" s="186"/>
      <c r="J206" s="186"/>
      <c r="K206" s="186"/>
      <c r="L206" s="186"/>
      <c r="M206" s="232"/>
      <c r="N206" s="20"/>
    </row>
    <row r="207" spans="1:14" ht="45" customHeight="1" x14ac:dyDescent="0.3">
      <c r="A207" s="21"/>
      <c r="B207" s="53" t="s">
        <v>88</v>
      </c>
      <c r="C207" s="183" t="str">
        <f>IF(C121="","My need this invitee could respect",CONCATENATE("My need ",C121," could respect"))</f>
        <v>My need this invitee could respect</v>
      </c>
      <c r="D207" s="183"/>
      <c r="E207" s="183"/>
      <c r="F207" s="185" t="s">
        <v>156</v>
      </c>
      <c r="G207" s="186"/>
      <c r="H207" s="186"/>
      <c r="I207" s="186"/>
      <c r="J207" s="186"/>
      <c r="K207" s="186"/>
      <c r="L207" s="186"/>
      <c r="M207" s="187"/>
      <c r="N207" s="20"/>
    </row>
    <row r="208" spans="1:14" ht="45" customHeight="1" x14ac:dyDescent="0.3">
      <c r="A208" s="21"/>
      <c r="B208" s="52" t="s">
        <v>87</v>
      </c>
      <c r="C208" s="183" t="str">
        <f>IF(C121="","Mutuality with this invitee",CONCATENATE("Mutuality with ",C121))</f>
        <v>Mutuality with this invitee</v>
      </c>
      <c r="D208" s="183"/>
      <c r="E208" s="183"/>
      <c r="F208" s="185" t="s">
        <v>90</v>
      </c>
      <c r="G208" s="186"/>
      <c r="H208" s="186"/>
      <c r="I208" s="186"/>
      <c r="J208" s="186"/>
      <c r="K208" s="186"/>
      <c r="L208" s="186"/>
      <c r="M208" s="187"/>
      <c r="N208" s="20"/>
    </row>
    <row r="209" spans="1:14" ht="20" customHeight="1" x14ac:dyDescent="0.3">
      <c r="A209" s="21"/>
      <c r="B209" s="36"/>
      <c r="C209" s="188" t="str">
        <f>IF(C121="","Their receptive level ",CONCATENATE(C121,"'s receptive level "))</f>
        <v xml:space="preserve">Their receptive level </v>
      </c>
      <c r="D209" s="188"/>
      <c r="E209" s="188"/>
      <c r="F209" s="188"/>
      <c r="G209" s="190"/>
      <c r="H209" s="191"/>
      <c r="I209" s="192"/>
      <c r="J209" s="194" t="str">
        <f>IF(C121="","Their responsiveness ",CONCATENATE(C121,"'s responsiveness "))</f>
        <v xml:space="preserve">Their responsiveness </v>
      </c>
      <c r="K209" s="194"/>
      <c r="L209" s="195"/>
      <c r="M209" s="51"/>
      <c r="N209" s="20"/>
    </row>
    <row r="210" spans="1:14" ht="20" customHeight="1" x14ac:dyDescent="0.3">
      <c r="A210" s="21"/>
      <c r="B210" s="36"/>
      <c r="C210" s="22"/>
      <c r="D210" s="22"/>
      <c r="E210" s="22"/>
      <c r="F210" s="22"/>
      <c r="G210" s="22"/>
      <c r="H210" s="22"/>
      <c r="I210" s="22"/>
      <c r="J210" s="22"/>
      <c r="K210" s="22"/>
      <c r="L210" s="22"/>
      <c r="M210" s="22"/>
      <c r="N210" s="20"/>
    </row>
    <row r="211" spans="1:14" ht="25" customHeight="1" x14ac:dyDescent="0.3">
      <c r="A211" s="21"/>
      <c r="B211" s="41" t="str">
        <f>IF(C121="","D.  Interest in my potential wellness campaign",CONCATENATE("D.  ",C121,"'s interest in my potential wellness campaign"))</f>
        <v>D.  Interest in my potential wellness campaign</v>
      </c>
      <c r="C211" s="39"/>
      <c r="D211" s="39"/>
      <c r="E211" s="39"/>
      <c r="F211" s="39"/>
      <c r="G211" s="39"/>
      <c r="H211" s="39"/>
      <c r="I211" s="39"/>
      <c r="J211" s="39"/>
      <c r="K211" s="39"/>
      <c r="L211" s="39"/>
      <c r="M211" s="49" t="str">
        <f>IF(OR(C214="",I214="",L214=""),"",L121)</f>
        <v/>
      </c>
      <c r="N211" s="20"/>
    </row>
    <row r="212" spans="1:14" ht="20" customHeight="1" x14ac:dyDescent="0.3">
      <c r="A212" s="21"/>
      <c r="B212" s="36"/>
      <c r="C212" s="39"/>
      <c r="D212" s="39"/>
      <c r="E212" s="50" t="s">
        <v>96</v>
      </c>
      <c r="F212" s="196" t="str">
        <f>IF(F188="","",F188)</f>
        <v/>
      </c>
      <c r="G212" s="197"/>
      <c r="H212" s="197"/>
      <c r="I212" s="197"/>
      <c r="J212" s="197"/>
      <c r="K212" s="197"/>
      <c r="L212" s="197"/>
      <c r="M212" s="198"/>
      <c r="N212" s="20"/>
    </row>
    <row r="213" spans="1:14" ht="20" customHeight="1" x14ac:dyDescent="0.3">
      <c r="A213" s="21"/>
      <c r="B213" s="36"/>
      <c r="C213" s="24" t="s">
        <v>22</v>
      </c>
      <c r="D213" s="24"/>
      <c r="E213" s="42" t="s">
        <v>25</v>
      </c>
      <c r="F213" s="34" t="s">
        <v>24</v>
      </c>
      <c r="G213" s="34"/>
      <c r="H213" s="34" t="s">
        <v>30</v>
      </c>
      <c r="I213" s="24" t="s">
        <v>23</v>
      </c>
      <c r="J213" s="24"/>
      <c r="K213" s="24"/>
      <c r="L213" s="231" t="s">
        <v>29</v>
      </c>
      <c r="M213" s="231"/>
      <c r="N213" s="20"/>
    </row>
    <row r="214" spans="1:14" ht="20" customHeight="1" x14ac:dyDescent="0.3">
      <c r="A214" s="21"/>
      <c r="B214" s="36"/>
      <c r="C214" s="200"/>
      <c r="D214" s="202"/>
      <c r="E214" s="33"/>
      <c r="F214" s="200"/>
      <c r="G214" s="202"/>
      <c r="H214" s="33"/>
      <c r="I214" s="200"/>
      <c r="J214" s="202"/>
      <c r="K214" s="43"/>
      <c r="L214" s="203"/>
      <c r="M214" s="204"/>
      <c r="N214" s="20"/>
    </row>
    <row r="215" spans="1:14" ht="20" customHeight="1" x14ac:dyDescent="0.3">
      <c r="A215" s="21"/>
      <c r="B215" s="36"/>
      <c r="C215" s="39"/>
      <c r="D215" s="39"/>
      <c r="E215" s="39"/>
      <c r="F215" s="39"/>
      <c r="G215" s="39"/>
      <c r="H215" s="179" t="str">
        <f>AI1079</f>
        <v/>
      </c>
      <c r="I215" s="179"/>
      <c r="J215" s="179"/>
      <c r="K215" s="179"/>
      <c r="L215" s="179"/>
      <c r="M215" s="179" t="str">
        <f>IF(C194="","","your progress with THIS INVITEE")</f>
        <v/>
      </c>
      <c r="N215" s="20"/>
    </row>
    <row r="216" spans="1:14" ht="30" customHeight="1" x14ac:dyDescent="0.3">
      <c r="A216" s="47"/>
      <c r="B216" s="123">
        <v>4</v>
      </c>
      <c r="C216" s="182" t="str">
        <f>IF(C122="","Invitee 04",CONCATENATE(C122," ",F122))</f>
        <v>Invitee 04</v>
      </c>
      <c r="D216" s="182"/>
      <c r="E216" s="182"/>
      <c r="F216" s="182"/>
      <c r="G216" s="182"/>
      <c r="H216" s="182"/>
      <c r="I216" s="182"/>
      <c r="J216" s="182"/>
      <c r="K216" s="182"/>
      <c r="L216" s="206">
        <f>M122</f>
        <v>0</v>
      </c>
      <c r="M216" s="206"/>
      <c r="N216" s="48"/>
    </row>
    <row r="217" spans="1:14" ht="20" customHeight="1" x14ac:dyDescent="0.3">
      <c r="A217" s="21"/>
      <c r="B217" s="24"/>
      <c r="C217" s="56" t="s">
        <v>104</v>
      </c>
      <c r="D217" s="56"/>
      <c r="E217" s="57"/>
      <c r="F217" s="83" t="s">
        <v>105</v>
      </c>
      <c r="G217" s="56"/>
      <c r="H217" s="56"/>
      <c r="I217" s="83" t="s">
        <v>106</v>
      </c>
      <c r="J217" s="83"/>
      <c r="K217" s="83"/>
      <c r="L217" s="56" t="s">
        <v>107</v>
      </c>
      <c r="M217" s="56"/>
      <c r="N217" s="20"/>
    </row>
    <row r="218" spans="1:14" ht="20" customHeight="1" x14ac:dyDescent="0.3">
      <c r="A218" s="21"/>
      <c r="B218" s="24"/>
      <c r="C218" s="218"/>
      <c r="D218" s="219"/>
      <c r="E218" s="220"/>
      <c r="F218" s="221"/>
      <c r="G218" s="222"/>
      <c r="H218" s="223"/>
      <c r="I218" s="224"/>
      <c r="J218" s="225"/>
      <c r="K218" s="225"/>
      <c r="L218" s="218"/>
      <c r="M218" s="220"/>
      <c r="N218" s="20"/>
    </row>
    <row r="219" spans="1:14" ht="20" customHeight="1" x14ac:dyDescent="0.3">
      <c r="A219" s="21"/>
      <c r="B219" s="41" t="str">
        <f>IF(C122="","A.  Inviting contact to express their need",CONCATENATE("A.  Inviting ",C122," to express their need"))</f>
        <v>A.  Inviting contact to express their need</v>
      </c>
      <c r="C219" s="36"/>
      <c r="D219" s="36"/>
      <c r="E219" s="36"/>
      <c r="F219" s="36"/>
      <c r="G219" s="36"/>
      <c r="H219" s="36"/>
      <c r="I219" s="40"/>
      <c r="J219" s="36"/>
      <c r="K219" s="36"/>
      <c r="L219" s="36"/>
      <c r="M219" s="46" t="str">
        <f>IF(OR(L221="",K223=""),"",I122)</f>
        <v/>
      </c>
      <c r="N219" s="20"/>
    </row>
    <row r="220" spans="1:14" ht="20" customHeight="1" x14ac:dyDescent="0.3">
      <c r="A220" s="21"/>
      <c r="B220" s="41"/>
      <c r="C220" s="24" t="s">
        <v>22</v>
      </c>
      <c r="D220" s="24"/>
      <c r="E220" s="42" t="s">
        <v>25</v>
      </c>
      <c r="F220" s="34" t="s">
        <v>24</v>
      </c>
      <c r="G220" s="34"/>
      <c r="H220" s="34" t="s">
        <v>30</v>
      </c>
      <c r="I220" s="24" t="s">
        <v>23</v>
      </c>
      <c r="J220" s="24"/>
      <c r="K220" s="24"/>
      <c r="L220" s="231" t="s">
        <v>29</v>
      </c>
      <c r="M220" s="231"/>
      <c r="N220" s="20"/>
    </row>
    <row r="221" spans="1:14" ht="20" customHeight="1" x14ac:dyDescent="0.3">
      <c r="A221" s="21"/>
      <c r="B221" s="23"/>
      <c r="C221" s="200"/>
      <c r="D221" s="202"/>
      <c r="E221" s="33"/>
      <c r="F221" s="200"/>
      <c r="G221" s="202"/>
      <c r="H221" s="33"/>
      <c r="I221" s="200"/>
      <c r="J221" s="202"/>
      <c r="K221" s="43"/>
      <c r="L221" s="203"/>
      <c r="M221" s="204"/>
      <c r="N221" s="20"/>
    </row>
    <row r="222" spans="1:14" ht="60" customHeight="1" x14ac:dyDescent="0.3">
      <c r="A222" s="21"/>
      <c r="B222" s="36"/>
      <c r="C222" s="207" t="str">
        <f>IF(C122="", "Their expressed need:",CONCATENATE(C122,"'s expressed need:"))</f>
        <v>Their expressed need:</v>
      </c>
      <c r="D222" s="208"/>
      <c r="E222" s="209"/>
      <c r="F222" s="210"/>
      <c r="G222" s="210"/>
      <c r="H222" s="210"/>
      <c r="I222" s="210"/>
      <c r="J222" s="210"/>
      <c r="K222" s="210"/>
      <c r="L222" s="210"/>
      <c r="M222" s="211"/>
      <c r="N222" s="20"/>
    </row>
    <row r="223" spans="1:14" ht="20" customHeight="1" x14ac:dyDescent="0.3">
      <c r="A223" s="21"/>
      <c r="B223" s="36"/>
      <c r="C223" s="25"/>
      <c r="D223" s="45" t="s">
        <v>73</v>
      </c>
      <c r="E223" s="233"/>
      <c r="F223" s="234"/>
      <c r="G223" s="234"/>
      <c r="H223" s="235"/>
      <c r="I223" s="25"/>
      <c r="J223" s="44" t="s">
        <v>72</v>
      </c>
      <c r="K223" s="233"/>
      <c r="L223" s="234"/>
      <c r="M223" s="235"/>
      <c r="N223" s="20"/>
    </row>
    <row r="224" spans="1:14" ht="25" customHeight="1" x14ac:dyDescent="0.3">
      <c r="A224" s="21"/>
      <c r="B224" s="41" t="str">
        <f>IF(C122="","B.  Honoring invitee's expressed need",CONCATENATE("B.  Honoring ",C122,"'s expressed need"))</f>
        <v>B.  Honoring invitee's expressed need</v>
      </c>
      <c r="C224" s="36"/>
      <c r="D224" s="36"/>
      <c r="E224" s="36"/>
      <c r="F224" s="36"/>
      <c r="G224" s="36"/>
      <c r="H224" s="36"/>
      <c r="I224" s="40"/>
      <c r="J224" s="36"/>
      <c r="K224" s="36"/>
      <c r="L224" s="36"/>
      <c r="M224" s="46" t="str">
        <f>IF(G227="","",J122)</f>
        <v/>
      </c>
      <c r="N224" s="20"/>
    </row>
    <row r="225" spans="1:14" ht="45" customHeight="1" x14ac:dyDescent="0.3">
      <c r="A225" s="21"/>
      <c r="B225" s="36"/>
      <c r="C225" s="215" t="str">
        <f>IF(C122="","Honoring invitee's expressed need",CONCATENATE("Honoring ",C122,"'s expressed need"))</f>
        <v>Honoring invitee's expressed need</v>
      </c>
      <c r="D225" s="226"/>
      <c r="E225" s="226"/>
      <c r="F225" s="185"/>
      <c r="G225" s="186"/>
      <c r="H225" s="186"/>
      <c r="I225" s="186"/>
      <c r="J225" s="186"/>
      <c r="K225" s="186"/>
      <c r="L225" s="186"/>
      <c r="M225" s="187"/>
      <c r="N225" s="20"/>
    </row>
    <row r="226" spans="1:14" ht="45" customHeight="1" x14ac:dyDescent="0.3">
      <c r="A226" s="21"/>
      <c r="B226" s="36"/>
      <c r="C226" s="226" t="str">
        <f>IF(C122="","Invitee's feedback to my efforts",CONCATENATE(C122,"'s feedback to my efforts"))</f>
        <v>Invitee's feedback to my efforts</v>
      </c>
      <c r="D226" s="226"/>
      <c r="E226" s="226"/>
      <c r="F226" s="185"/>
      <c r="G226" s="186"/>
      <c r="H226" s="186"/>
      <c r="I226" s="186"/>
      <c r="J226" s="186"/>
      <c r="K226" s="186"/>
      <c r="L226" s="186"/>
      <c r="M226" s="187"/>
      <c r="N226" s="20"/>
    </row>
    <row r="227" spans="1:14" ht="20" customHeight="1" x14ac:dyDescent="0.3">
      <c r="A227" s="21"/>
      <c r="B227" s="36"/>
      <c r="C227" s="188" t="str">
        <f>IF(C122="","Their satisfaction level ",CONCATENATE(C122,"'s satisfaction level "))</f>
        <v xml:space="preserve">Their satisfaction level </v>
      </c>
      <c r="D227" s="188"/>
      <c r="E227" s="188"/>
      <c r="F227" s="188"/>
      <c r="G227" s="190"/>
      <c r="H227" s="191"/>
      <c r="I227" s="192"/>
      <c r="J227" s="229" t="str">
        <f>IF(C122="","Their emotional response ",CONCATENATE(C122,"'s emotional response "))</f>
        <v xml:space="preserve">Their emotional response </v>
      </c>
      <c r="K227" s="229"/>
      <c r="L227" s="230"/>
      <c r="M227" s="43"/>
      <c r="N227" s="20"/>
    </row>
    <row r="228" spans="1:14" ht="20" customHeight="1" x14ac:dyDescent="0.3">
      <c r="A228" s="21"/>
      <c r="B228" s="36"/>
      <c r="C228" s="39"/>
      <c r="D228" s="39"/>
      <c r="E228" s="39"/>
      <c r="F228" s="39"/>
      <c r="G228" s="39"/>
      <c r="H228" s="39"/>
      <c r="I228" s="39"/>
      <c r="J228" s="39"/>
      <c r="K228" s="39"/>
      <c r="L228" s="39"/>
      <c r="M228" s="39"/>
      <c r="N228" s="20"/>
    </row>
    <row r="229" spans="1:14" ht="25" customHeight="1" x14ac:dyDescent="0.3">
      <c r="A229" s="21"/>
      <c r="B229" s="41" t="str">
        <f>IF(C122="","C.  My expressed need to ask this invitee",CONCATENATE("C.  My expressed need to ask ",C122))</f>
        <v>C.  My expressed need to ask this invitee</v>
      </c>
      <c r="C229" s="38"/>
      <c r="D229" s="38"/>
      <c r="E229" s="38"/>
      <c r="F229" s="37"/>
      <c r="G229" s="37"/>
      <c r="H229" s="37"/>
      <c r="I229" s="37"/>
      <c r="J229" s="37"/>
      <c r="K229" s="37"/>
      <c r="L229" s="37"/>
      <c r="M229" s="49" t="str">
        <f>IF(OR(G233="",M233=""),"",K122)</f>
        <v/>
      </c>
      <c r="N229" s="20"/>
    </row>
    <row r="230" spans="1:14" ht="45" customHeight="1" x14ac:dyDescent="0.3">
      <c r="A230" s="21"/>
      <c r="B230" s="52" t="s">
        <v>87</v>
      </c>
      <c r="C230" s="183" t="str">
        <f>IF(C122="","Affirming this invitee",CONCATENATE("Affirming ",C122))</f>
        <v>Affirming this invitee</v>
      </c>
      <c r="D230" s="183"/>
      <c r="E230" s="183"/>
      <c r="F230" s="185" t="s">
        <v>89</v>
      </c>
      <c r="G230" s="186"/>
      <c r="H230" s="186"/>
      <c r="I230" s="186"/>
      <c r="J230" s="186"/>
      <c r="K230" s="186"/>
      <c r="L230" s="186"/>
      <c r="M230" s="232"/>
      <c r="N230" s="20"/>
    </row>
    <row r="231" spans="1:14" ht="45" customHeight="1" x14ac:dyDescent="0.3">
      <c r="A231" s="21"/>
      <c r="B231" s="53" t="s">
        <v>88</v>
      </c>
      <c r="C231" s="183" t="str">
        <f>IF(C122="","My need this invitee could respect",CONCATENATE("My need ",C122," could respect"))</f>
        <v>My need this invitee could respect</v>
      </c>
      <c r="D231" s="183"/>
      <c r="E231" s="183"/>
      <c r="F231" s="185" t="s">
        <v>155</v>
      </c>
      <c r="G231" s="186"/>
      <c r="H231" s="186"/>
      <c r="I231" s="186"/>
      <c r="J231" s="186"/>
      <c r="K231" s="186"/>
      <c r="L231" s="186"/>
      <c r="M231" s="187"/>
      <c r="N231" s="20"/>
    </row>
    <row r="232" spans="1:14" ht="45" customHeight="1" x14ac:dyDescent="0.3">
      <c r="A232" s="21"/>
      <c r="B232" s="52" t="s">
        <v>87</v>
      </c>
      <c r="C232" s="183" t="str">
        <f>IF(C122="","Mutuality with this invitee",CONCATENATE("Mutuality with ",C122))</f>
        <v>Mutuality with this invitee</v>
      </c>
      <c r="D232" s="183"/>
      <c r="E232" s="183"/>
      <c r="F232" s="185" t="s">
        <v>90</v>
      </c>
      <c r="G232" s="186"/>
      <c r="H232" s="186"/>
      <c r="I232" s="186"/>
      <c r="J232" s="186"/>
      <c r="K232" s="186"/>
      <c r="L232" s="186"/>
      <c r="M232" s="187"/>
      <c r="N232" s="20"/>
    </row>
    <row r="233" spans="1:14" ht="20" customHeight="1" x14ac:dyDescent="0.3">
      <c r="A233" s="21"/>
      <c r="B233" s="36"/>
      <c r="C233" s="188" t="str">
        <f>IF(C122="","Their receptive level ",CONCATENATE(C122,"'s receptive level "))</f>
        <v xml:space="preserve">Their receptive level </v>
      </c>
      <c r="D233" s="188"/>
      <c r="E233" s="188"/>
      <c r="F233" s="188"/>
      <c r="G233" s="190"/>
      <c r="H233" s="191"/>
      <c r="I233" s="192"/>
      <c r="J233" s="194" t="str">
        <f>IF(C122="","Their responsiveness ",CONCATENATE(C122,"'s responsiveness "))</f>
        <v xml:space="preserve">Their responsiveness </v>
      </c>
      <c r="K233" s="194"/>
      <c r="L233" s="195"/>
      <c r="M233" s="51"/>
      <c r="N233" s="20"/>
    </row>
    <row r="234" spans="1:14" ht="20" customHeight="1" x14ac:dyDescent="0.3">
      <c r="A234" s="21"/>
      <c r="B234" s="36"/>
      <c r="C234" s="22"/>
      <c r="D234" s="22"/>
      <c r="E234" s="22"/>
      <c r="F234" s="22"/>
      <c r="G234" s="22"/>
      <c r="H234" s="22"/>
      <c r="I234" s="22"/>
      <c r="J234" s="22"/>
      <c r="K234" s="22"/>
      <c r="L234" s="22"/>
      <c r="M234" s="22"/>
      <c r="N234" s="20"/>
    </row>
    <row r="235" spans="1:14" ht="25" customHeight="1" x14ac:dyDescent="0.3">
      <c r="A235" s="21"/>
      <c r="B235" s="41" t="str">
        <f>IF(C122="","D.  Interest in my potential wellness campaign",CONCATENATE("D.  ",C122,"'s interest in my potential wellness campaign"))</f>
        <v>D.  Interest in my potential wellness campaign</v>
      </c>
      <c r="C235" s="39"/>
      <c r="D235" s="39"/>
      <c r="E235" s="39"/>
      <c r="F235" s="39"/>
      <c r="G235" s="39"/>
      <c r="H235" s="39"/>
      <c r="I235" s="39"/>
      <c r="J235" s="39"/>
      <c r="K235" s="39"/>
      <c r="L235" s="39"/>
      <c r="M235" s="49" t="str">
        <f>IF(OR(C238="",I238="",L238=""),"",L122)</f>
        <v/>
      </c>
      <c r="N235" s="20"/>
    </row>
    <row r="236" spans="1:14" ht="20" customHeight="1" x14ac:dyDescent="0.3">
      <c r="A236" s="21"/>
      <c r="B236" s="36"/>
      <c r="C236" s="39"/>
      <c r="D236" s="39"/>
      <c r="E236" s="50" t="s">
        <v>96</v>
      </c>
      <c r="F236" s="196" t="str">
        <f>IF(F212="","",F212)</f>
        <v/>
      </c>
      <c r="G236" s="197"/>
      <c r="H236" s="197"/>
      <c r="I236" s="197"/>
      <c r="J236" s="197"/>
      <c r="K236" s="197"/>
      <c r="L236" s="197"/>
      <c r="M236" s="198"/>
      <c r="N236" s="20"/>
    </row>
    <row r="237" spans="1:14" ht="20" customHeight="1" x14ac:dyDescent="0.3">
      <c r="A237" s="21"/>
      <c r="B237" s="36"/>
      <c r="C237" s="24" t="s">
        <v>22</v>
      </c>
      <c r="D237" s="24"/>
      <c r="E237" s="42" t="s">
        <v>25</v>
      </c>
      <c r="F237" s="34" t="s">
        <v>24</v>
      </c>
      <c r="G237" s="34"/>
      <c r="H237" s="34" t="s">
        <v>30</v>
      </c>
      <c r="I237" s="24" t="s">
        <v>23</v>
      </c>
      <c r="J237" s="24"/>
      <c r="K237" s="24"/>
      <c r="L237" s="231" t="s">
        <v>29</v>
      </c>
      <c r="M237" s="231"/>
      <c r="N237" s="20"/>
    </row>
    <row r="238" spans="1:14" ht="20" customHeight="1" x14ac:dyDescent="0.3">
      <c r="A238" s="21"/>
      <c r="B238" s="36"/>
      <c r="C238" s="200"/>
      <c r="D238" s="202"/>
      <c r="E238" s="33"/>
      <c r="F238" s="200"/>
      <c r="G238" s="202"/>
      <c r="H238" s="33"/>
      <c r="I238" s="200"/>
      <c r="J238" s="202"/>
      <c r="K238" s="43"/>
      <c r="L238" s="203"/>
      <c r="M238" s="204"/>
      <c r="N238" s="20"/>
    </row>
    <row r="239" spans="1:14" ht="20" customHeight="1" x14ac:dyDescent="0.3">
      <c r="A239" s="21"/>
      <c r="B239" s="36"/>
      <c r="C239" s="39"/>
      <c r="D239" s="39"/>
      <c r="E239" s="39"/>
      <c r="F239" s="39"/>
      <c r="G239" s="39"/>
      <c r="H239" s="179" t="str">
        <f>AI1080</f>
        <v/>
      </c>
      <c r="I239" s="179"/>
      <c r="J239" s="179"/>
      <c r="K239" s="179"/>
      <c r="L239" s="179"/>
      <c r="M239" s="179" t="str">
        <f>IF(C218="","","your progress with THIS INVITEE")</f>
        <v/>
      </c>
      <c r="N239" s="20"/>
    </row>
    <row r="240" spans="1:14" ht="30" customHeight="1" x14ac:dyDescent="0.3">
      <c r="A240" s="47"/>
      <c r="B240" s="123">
        <v>5</v>
      </c>
      <c r="C240" s="182" t="str">
        <f>IF(C123="","Invitee 05",CONCATENATE(C123," ",F123))</f>
        <v>Invitee 05</v>
      </c>
      <c r="D240" s="182"/>
      <c r="E240" s="182"/>
      <c r="F240" s="182"/>
      <c r="G240" s="182"/>
      <c r="H240" s="182"/>
      <c r="I240" s="182"/>
      <c r="J240" s="182"/>
      <c r="K240" s="182"/>
      <c r="L240" s="206">
        <f>M123</f>
        <v>0</v>
      </c>
      <c r="M240" s="206"/>
      <c r="N240" s="48"/>
    </row>
    <row r="241" spans="1:14" ht="20" customHeight="1" x14ac:dyDescent="0.3">
      <c r="A241" s="21"/>
      <c r="B241" s="24"/>
      <c r="C241" s="56" t="s">
        <v>104</v>
      </c>
      <c r="D241" s="56"/>
      <c r="E241" s="57"/>
      <c r="F241" s="83" t="s">
        <v>105</v>
      </c>
      <c r="G241" s="56"/>
      <c r="H241" s="56"/>
      <c r="I241" s="83" t="s">
        <v>106</v>
      </c>
      <c r="J241" s="83"/>
      <c r="K241" s="83"/>
      <c r="L241" s="56" t="s">
        <v>107</v>
      </c>
      <c r="M241" s="56"/>
      <c r="N241" s="20"/>
    </row>
    <row r="242" spans="1:14" ht="20" customHeight="1" x14ac:dyDescent="0.3">
      <c r="A242" s="21"/>
      <c r="B242" s="24"/>
      <c r="C242" s="218"/>
      <c r="D242" s="219"/>
      <c r="E242" s="220"/>
      <c r="F242" s="221"/>
      <c r="G242" s="222"/>
      <c r="H242" s="223"/>
      <c r="I242" s="224"/>
      <c r="J242" s="225"/>
      <c r="K242" s="225"/>
      <c r="L242" s="218"/>
      <c r="M242" s="220"/>
      <c r="N242" s="20"/>
    </row>
    <row r="243" spans="1:14" ht="20" customHeight="1" x14ac:dyDescent="0.3">
      <c r="A243" s="21"/>
      <c r="B243" s="41" t="str">
        <f>IF(C123="","A.  Inviting contact to express their need",CONCATENATE("A.  Inviting ",C123," to express their need"))</f>
        <v>A.  Inviting contact to express their need</v>
      </c>
      <c r="C243" s="36"/>
      <c r="D243" s="36"/>
      <c r="E243" s="36"/>
      <c r="F243" s="36"/>
      <c r="G243" s="36"/>
      <c r="H243" s="36"/>
      <c r="I243" s="40"/>
      <c r="J243" s="36"/>
      <c r="K243" s="36"/>
      <c r="L243" s="36"/>
      <c r="M243" s="46" t="str">
        <f>IF(OR(L245="",K247=""),"",I123)</f>
        <v/>
      </c>
      <c r="N243" s="20"/>
    </row>
    <row r="244" spans="1:14" ht="20" customHeight="1" x14ac:dyDescent="0.3">
      <c r="A244" s="21"/>
      <c r="B244" s="41"/>
      <c r="C244" s="24" t="s">
        <v>22</v>
      </c>
      <c r="D244" s="24"/>
      <c r="E244" s="42" t="s">
        <v>25</v>
      </c>
      <c r="F244" s="34" t="s">
        <v>24</v>
      </c>
      <c r="G244" s="34"/>
      <c r="H244" s="34" t="s">
        <v>30</v>
      </c>
      <c r="I244" s="24" t="s">
        <v>23</v>
      </c>
      <c r="J244" s="24"/>
      <c r="K244" s="24"/>
      <c r="L244" s="231" t="s">
        <v>29</v>
      </c>
      <c r="M244" s="231"/>
      <c r="N244" s="20"/>
    </row>
    <row r="245" spans="1:14" ht="20" customHeight="1" x14ac:dyDescent="0.3">
      <c r="A245" s="21"/>
      <c r="B245" s="23"/>
      <c r="C245" s="200">
        <v>45259</v>
      </c>
      <c r="D245" s="202"/>
      <c r="E245" s="33"/>
      <c r="F245" s="200"/>
      <c r="G245" s="202"/>
      <c r="H245" s="33"/>
      <c r="I245" s="200"/>
      <c r="J245" s="202"/>
      <c r="K245" s="43"/>
      <c r="L245" s="203"/>
      <c r="M245" s="204"/>
      <c r="N245" s="20"/>
    </row>
    <row r="246" spans="1:14" ht="60" customHeight="1" x14ac:dyDescent="0.3">
      <c r="A246" s="21"/>
      <c r="B246" s="36"/>
      <c r="C246" s="207" t="str">
        <f>IF(C123="", "Their expressed need:",CONCATENATE(C123,"'s expressed need:"))</f>
        <v>Their expressed need:</v>
      </c>
      <c r="D246" s="208"/>
      <c r="E246" s="209"/>
      <c r="F246" s="210"/>
      <c r="G246" s="210"/>
      <c r="H246" s="210"/>
      <c r="I246" s="210"/>
      <c r="J246" s="210"/>
      <c r="K246" s="210"/>
      <c r="L246" s="210"/>
      <c r="M246" s="211"/>
      <c r="N246" s="20"/>
    </row>
    <row r="247" spans="1:14" ht="20" customHeight="1" x14ac:dyDescent="0.3">
      <c r="A247" s="21"/>
      <c r="B247" s="36"/>
      <c r="C247" s="25"/>
      <c r="D247" s="45" t="s">
        <v>73</v>
      </c>
      <c r="E247" s="233"/>
      <c r="F247" s="234"/>
      <c r="G247" s="234"/>
      <c r="H247" s="235"/>
      <c r="I247" s="25"/>
      <c r="J247" s="44" t="s">
        <v>72</v>
      </c>
      <c r="K247" s="233"/>
      <c r="L247" s="234"/>
      <c r="M247" s="235"/>
      <c r="N247" s="20"/>
    </row>
    <row r="248" spans="1:14" ht="25" customHeight="1" x14ac:dyDescent="0.3">
      <c r="A248" s="21"/>
      <c r="B248" s="41" t="str">
        <f>IF(C123="","B.  Honoring invitee's expressed need",CONCATENATE("B.  Honoring ",C123,"'s expressed need"))</f>
        <v>B.  Honoring invitee's expressed need</v>
      </c>
      <c r="C248" s="36"/>
      <c r="D248" s="36"/>
      <c r="E248" s="36"/>
      <c r="F248" s="36"/>
      <c r="G248" s="36"/>
      <c r="H248" s="36"/>
      <c r="I248" s="40"/>
      <c r="J248" s="36"/>
      <c r="K248" s="36"/>
      <c r="L248" s="36"/>
      <c r="M248" s="46" t="str">
        <f>IF(G251="","",J123)</f>
        <v/>
      </c>
      <c r="N248" s="20"/>
    </row>
    <row r="249" spans="1:14" ht="45" customHeight="1" x14ac:dyDescent="0.3">
      <c r="A249" s="21"/>
      <c r="B249" s="36"/>
      <c r="C249" s="215" t="str">
        <f>IF(C123="","Honoring invitee's expressed need",CONCATENATE("Honoring ",C123,"'s expressed need"))</f>
        <v>Honoring invitee's expressed need</v>
      </c>
      <c r="D249" s="226"/>
      <c r="E249" s="226"/>
      <c r="F249" s="185"/>
      <c r="G249" s="186"/>
      <c r="H249" s="186"/>
      <c r="I249" s="186"/>
      <c r="J249" s="186"/>
      <c r="K249" s="186"/>
      <c r="L249" s="186"/>
      <c r="M249" s="187"/>
      <c r="N249" s="20"/>
    </row>
    <row r="250" spans="1:14" ht="45" customHeight="1" x14ac:dyDescent="0.3">
      <c r="A250" s="21"/>
      <c r="B250" s="36"/>
      <c r="C250" s="226" t="str">
        <f>IF(C123="","Invitee's feedback to my efforts",CONCATENATE(C123,"'s feedback to my efforts"))</f>
        <v>Invitee's feedback to my efforts</v>
      </c>
      <c r="D250" s="226"/>
      <c r="E250" s="226"/>
      <c r="F250" s="185"/>
      <c r="G250" s="186"/>
      <c r="H250" s="186"/>
      <c r="I250" s="186"/>
      <c r="J250" s="186"/>
      <c r="K250" s="186"/>
      <c r="L250" s="186"/>
      <c r="M250" s="187"/>
      <c r="N250" s="20"/>
    </row>
    <row r="251" spans="1:14" ht="20" customHeight="1" x14ac:dyDescent="0.3">
      <c r="A251" s="21"/>
      <c r="B251" s="36"/>
      <c r="C251" s="188" t="str">
        <f>IF(C123="","Their satisfaction level ",CONCATENATE(C123,"'s satisfaction level "))</f>
        <v xml:space="preserve">Their satisfaction level </v>
      </c>
      <c r="D251" s="188"/>
      <c r="E251" s="188"/>
      <c r="F251" s="188"/>
      <c r="G251" s="190"/>
      <c r="H251" s="191"/>
      <c r="I251" s="192"/>
      <c r="J251" s="229" t="str">
        <f>IF(C123="","Their emotional response ",CONCATENATE(C123,"'s emotional response "))</f>
        <v xml:space="preserve">Their emotional response </v>
      </c>
      <c r="K251" s="229"/>
      <c r="L251" s="230"/>
      <c r="M251" s="43"/>
      <c r="N251" s="20"/>
    </row>
    <row r="252" spans="1:14" ht="20" customHeight="1" x14ac:dyDescent="0.3">
      <c r="A252" s="21"/>
      <c r="B252" s="36"/>
      <c r="C252" s="39"/>
      <c r="D252" s="39"/>
      <c r="E252" s="39"/>
      <c r="F252" s="39"/>
      <c r="G252" s="39"/>
      <c r="H252" s="39"/>
      <c r="I252" s="39"/>
      <c r="J252" s="39"/>
      <c r="K252" s="39"/>
      <c r="L252" s="39"/>
      <c r="M252" s="39"/>
      <c r="N252" s="20"/>
    </row>
    <row r="253" spans="1:14" ht="25" customHeight="1" x14ac:dyDescent="0.3">
      <c r="A253" s="21"/>
      <c r="B253" s="41" t="str">
        <f>IF(C123="","C.  My expressed need to ask this invitee",CONCATENATE("C.  My expressed need to ask ",C123))</f>
        <v>C.  My expressed need to ask this invitee</v>
      </c>
      <c r="C253" s="38"/>
      <c r="D253" s="38"/>
      <c r="E253" s="38"/>
      <c r="F253" s="37"/>
      <c r="G253" s="37"/>
      <c r="H253" s="37"/>
      <c r="I253" s="37"/>
      <c r="J253" s="37"/>
      <c r="K253" s="37"/>
      <c r="L253" s="37"/>
      <c r="M253" s="49" t="str">
        <f>IF(OR(G257="",M257=""),"",K123)</f>
        <v/>
      </c>
      <c r="N253" s="20"/>
    </row>
    <row r="254" spans="1:14" ht="45" customHeight="1" x14ac:dyDescent="0.3">
      <c r="A254" s="21"/>
      <c r="B254" s="52" t="s">
        <v>87</v>
      </c>
      <c r="C254" s="183" t="str">
        <f>IF(C123="","Affirming this invitee",CONCATENATE("Affirming ",C123))</f>
        <v>Affirming this invitee</v>
      </c>
      <c r="D254" s="183"/>
      <c r="E254" s="183"/>
      <c r="F254" s="185" t="s">
        <v>89</v>
      </c>
      <c r="G254" s="186"/>
      <c r="H254" s="186"/>
      <c r="I254" s="186"/>
      <c r="J254" s="186"/>
      <c r="K254" s="186"/>
      <c r="L254" s="186"/>
      <c r="M254" s="232"/>
      <c r="N254" s="20"/>
    </row>
    <row r="255" spans="1:14" ht="45" customHeight="1" x14ac:dyDescent="0.3">
      <c r="A255" s="21"/>
      <c r="B255" s="53" t="s">
        <v>88</v>
      </c>
      <c r="C255" s="183" t="str">
        <f>IF(C123="","My need this invitee could respect",CONCATENATE("My need ",C123," could respect"))</f>
        <v>My need this invitee could respect</v>
      </c>
      <c r="D255" s="183"/>
      <c r="E255" s="183"/>
      <c r="F255" s="185" t="s">
        <v>155</v>
      </c>
      <c r="G255" s="186"/>
      <c r="H255" s="186"/>
      <c r="I255" s="186"/>
      <c r="J255" s="186"/>
      <c r="K255" s="186"/>
      <c r="L255" s="186"/>
      <c r="M255" s="187"/>
      <c r="N255" s="20"/>
    </row>
    <row r="256" spans="1:14" ht="45" customHeight="1" x14ac:dyDescent="0.3">
      <c r="A256" s="21"/>
      <c r="B256" s="52" t="s">
        <v>87</v>
      </c>
      <c r="C256" s="183" t="str">
        <f>IF(C123="","Mutuality with this invitee",CONCATENATE("Mutuality with ",C123))</f>
        <v>Mutuality with this invitee</v>
      </c>
      <c r="D256" s="183"/>
      <c r="E256" s="183"/>
      <c r="F256" s="185" t="s">
        <v>90</v>
      </c>
      <c r="G256" s="186"/>
      <c r="H256" s="186"/>
      <c r="I256" s="186"/>
      <c r="J256" s="186"/>
      <c r="K256" s="186"/>
      <c r="L256" s="186"/>
      <c r="M256" s="187"/>
      <c r="N256" s="20"/>
    </row>
    <row r="257" spans="1:14" ht="20" customHeight="1" x14ac:dyDescent="0.3">
      <c r="A257" s="21"/>
      <c r="B257" s="36"/>
      <c r="C257" s="188" t="str">
        <f>IF(C123="","Their receptive level ",CONCATENATE(C123,"'s receptive level "))</f>
        <v xml:space="preserve">Their receptive level </v>
      </c>
      <c r="D257" s="188"/>
      <c r="E257" s="188"/>
      <c r="F257" s="188"/>
      <c r="G257" s="190"/>
      <c r="H257" s="191"/>
      <c r="I257" s="192"/>
      <c r="J257" s="194" t="str">
        <f>IF(C123="","Their responsiveness ",CONCATENATE(C123,"'s responsiveness "))</f>
        <v xml:space="preserve">Their responsiveness </v>
      </c>
      <c r="K257" s="194"/>
      <c r="L257" s="195"/>
      <c r="M257" s="51"/>
      <c r="N257" s="20"/>
    </row>
    <row r="258" spans="1:14" ht="20" customHeight="1" x14ac:dyDescent="0.3">
      <c r="A258" s="21"/>
      <c r="B258" s="36"/>
      <c r="C258" s="22"/>
      <c r="D258" s="22"/>
      <c r="E258" s="22"/>
      <c r="F258" s="22"/>
      <c r="G258" s="22"/>
      <c r="H258" s="22"/>
      <c r="I258" s="22"/>
      <c r="J258" s="22"/>
      <c r="K258" s="22"/>
      <c r="L258" s="22"/>
      <c r="M258" s="22"/>
      <c r="N258" s="20"/>
    </row>
    <row r="259" spans="1:14" ht="25" customHeight="1" x14ac:dyDescent="0.3">
      <c r="A259" s="21"/>
      <c r="B259" s="41" t="str">
        <f>IF(C123="","D.  Interest in my potential wellness campaign",CONCATENATE("D.  ",C123,"'s interest in my potential wellness campaign"))</f>
        <v>D.  Interest in my potential wellness campaign</v>
      </c>
      <c r="C259" s="39"/>
      <c r="D259" s="39"/>
      <c r="E259" s="39"/>
      <c r="F259" s="39"/>
      <c r="G259" s="39"/>
      <c r="H259" s="39"/>
      <c r="I259" s="39"/>
      <c r="J259" s="39"/>
      <c r="K259" s="39"/>
      <c r="L259" s="39"/>
      <c r="M259" s="49" t="str">
        <f>IF(OR(C262="",I262="",L262=""),"",L123)</f>
        <v/>
      </c>
      <c r="N259" s="20"/>
    </row>
    <row r="260" spans="1:14" ht="20" customHeight="1" x14ac:dyDescent="0.3">
      <c r="A260" s="21"/>
      <c r="B260" s="36"/>
      <c r="C260" s="39"/>
      <c r="D260" s="39"/>
      <c r="E260" s="50" t="s">
        <v>96</v>
      </c>
      <c r="F260" s="196" t="str">
        <f>IF(F236="","",F236)</f>
        <v/>
      </c>
      <c r="G260" s="197"/>
      <c r="H260" s="197"/>
      <c r="I260" s="197"/>
      <c r="J260" s="197"/>
      <c r="K260" s="197"/>
      <c r="L260" s="197"/>
      <c r="M260" s="198"/>
      <c r="N260" s="20"/>
    </row>
    <row r="261" spans="1:14" ht="20" customHeight="1" x14ac:dyDescent="0.3">
      <c r="A261" s="21"/>
      <c r="B261" s="36"/>
      <c r="C261" s="24" t="s">
        <v>22</v>
      </c>
      <c r="D261" s="24"/>
      <c r="E261" s="42" t="s">
        <v>25</v>
      </c>
      <c r="F261" s="34" t="s">
        <v>24</v>
      </c>
      <c r="G261" s="34"/>
      <c r="H261" s="34" t="s">
        <v>30</v>
      </c>
      <c r="I261" s="24" t="s">
        <v>23</v>
      </c>
      <c r="J261" s="24"/>
      <c r="K261" s="24"/>
      <c r="L261" s="231" t="s">
        <v>29</v>
      </c>
      <c r="M261" s="231"/>
      <c r="N261" s="20"/>
    </row>
    <row r="262" spans="1:14" ht="20" customHeight="1" x14ac:dyDescent="0.3">
      <c r="A262" s="21"/>
      <c r="B262" s="36"/>
      <c r="C262" s="200"/>
      <c r="D262" s="202"/>
      <c r="E262" s="33"/>
      <c r="F262" s="200"/>
      <c r="G262" s="202"/>
      <c r="H262" s="33"/>
      <c r="I262" s="200"/>
      <c r="J262" s="202"/>
      <c r="K262" s="43"/>
      <c r="L262" s="203"/>
      <c r="M262" s="204"/>
      <c r="N262" s="20"/>
    </row>
    <row r="263" spans="1:14" ht="20" customHeight="1" x14ac:dyDescent="0.3">
      <c r="A263" s="21"/>
      <c r="B263" s="36"/>
      <c r="C263" s="39"/>
      <c r="D263" s="39"/>
      <c r="E263" s="39"/>
      <c r="F263" s="39"/>
      <c r="G263" s="39"/>
      <c r="H263" s="179" t="str">
        <f>AI1081</f>
        <v/>
      </c>
      <c r="I263" s="179"/>
      <c r="J263" s="179"/>
      <c r="K263" s="179"/>
      <c r="L263" s="179"/>
      <c r="M263" s="179" t="str">
        <f>IF(C242="","","your progress with THIS INVITEE")</f>
        <v/>
      </c>
      <c r="N263" s="20"/>
    </row>
    <row r="264" spans="1:14" ht="30" customHeight="1" x14ac:dyDescent="0.3">
      <c r="A264" s="47"/>
      <c r="B264" s="123">
        <v>6</v>
      </c>
      <c r="C264" s="182" t="str">
        <f>IF(C124="","Invitee 06",CONCATENATE(C124," ",F124))</f>
        <v>Invitee 06</v>
      </c>
      <c r="D264" s="182"/>
      <c r="E264" s="182"/>
      <c r="F264" s="182"/>
      <c r="G264" s="182"/>
      <c r="H264" s="182"/>
      <c r="I264" s="182"/>
      <c r="J264" s="182"/>
      <c r="K264" s="182"/>
      <c r="L264" s="206">
        <f>M124</f>
        <v>0</v>
      </c>
      <c r="M264" s="206"/>
      <c r="N264" s="48"/>
    </row>
    <row r="265" spans="1:14" ht="20" customHeight="1" x14ac:dyDescent="0.3">
      <c r="A265" s="21"/>
      <c r="B265" s="24"/>
      <c r="C265" s="56" t="s">
        <v>104</v>
      </c>
      <c r="D265" s="56"/>
      <c r="E265" s="57"/>
      <c r="F265" s="83" t="s">
        <v>105</v>
      </c>
      <c r="G265" s="56"/>
      <c r="H265" s="56"/>
      <c r="I265" s="83" t="s">
        <v>106</v>
      </c>
      <c r="J265" s="83"/>
      <c r="K265" s="83"/>
      <c r="L265" s="56" t="s">
        <v>107</v>
      </c>
      <c r="M265" s="56"/>
      <c r="N265" s="20"/>
    </row>
    <row r="266" spans="1:14" ht="20" customHeight="1" x14ac:dyDescent="0.3">
      <c r="A266" s="21"/>
      <c r="B266" s="24"/>
      <c r="C266" s="218"/>
      <c r="D266" s="219"/>
      <c r="E266" s="220"/>
      <c r="F266" s="221"/>
      <c r="G266" s="222"/>
      <c r="H266" s="223"/>
      <c r="I266" s="224"/>
      <c r="J266" s="225"/>
      <c r="K266" s="225"/>
      <c r="L266" s="218"/>
      <c r="M266" s="220"/>
      <c r="N266" s="20"/>
    </row>
    <row r="267" spans="1:14" ht="20" customHeight="1" x14ac:dyDescent="0.3">
      <c r="A267" s="21"/>
      <c r="B267" s="41" t="str">
        <f>IF(C124="","A.  Inviting contact to express their need",CONCATENATE("A.  Inviting ",C124," to express their need"))</f>
        <v>A.  Inviting contact to express their need</v>
      </c>
      <c r="C267" s="36"/>
      <c r="D267" s="36"/>
      <c r="E267" s="36"/>
      <c r="F267" s="36"/>
      <c r="G267" s="36"/>
      <c r="H267" s="36"/>
      <c r="I267" s="40"/>
      <c r="J267" s="36"/>
      <c r="K267" s="36"/>
      <c r="L267" s="36"/>
      <c r="M267" s="46" t="str">
        <f>IF(OR(L269="",K271=""),"",I124)</f>
        <v/>
      </c>
      <c r="N267" s="20"/>
    </row>
    <row r="268" spans="1:14" ht="20" customHeight="1" x14ac:dyDescent="0.3">
      <c r="A268" s="21"/>
      <c r="B268" s="41"/>
      <c r="C268" s="24" t="s">
        <v>22</v>
      </c>
      <c r="D268" s="24"/>
      <c r="E268" s="42" t="s">
        <v>25</v>
      </c>
      <c r="F268" s="34" t="s">
        <v>24</v>
      </c>
      <c r="G268" s="34"/>
      <c r="H268" s="34" t="s">
        <v>30</v>
      </c>
      <c r="I268" s="24" t="s">
        <v>23</v>
      </c>
      <c r="J268" s="24"/>
      <c r="K268" s="24"/>
      <c r="L268" s="231" t="s">
        <v>29</v>
      </c>
      <c r="M268" s="231"/>
      <c r="N268" s="20"/>
    </row>
    <row r="269" spans="1:14" ht="20" customHeight="1" x14ac:dyDescent="0.3">
      <c r="A269" s="21"/>
      <c r="B269" s="23"/>
      <c r="C269" s="200"/>
      <c r="D269" s="202"/>
      <c r="E269" s="33"/>
      <c r="F269" s="200"/>
      <c r="G269" s="202"/>
      <c r="H269" s="33"/>
      <c r="I269" s="200"/>
      <c r="J269" s="202"/>
      <c r="K269" s="43"/>
      <c r="L269" s="203"/>
      <c r="M269" s="204"/>
      <c r="N269" s="20"/>
    </row>
    <row r="270" spans="1:14" ht="60" customHeight="1" x14ac:dyDescent="0.3">
      <c r="A270" s="21"/>
      <c r="B270" s="36"/>
      <c r="C270" s="207" t="str">
        <f>IF(C124="", "Their expressed need:",CONCATENATE(C124,"'s expressed need:"))</f>
        <v>Their expressed need:</v>
      </c>
      <c r="D270" s="208"/>
      <c r="E270" s="209"/>
      <c r="F270" s="210"/>
      <c r="G270" s="210"/>
      <c r="H270" s="210"/>
      <c r="I270" s="210"/>
      <c r="J270" s="210"/>
      <c r="K270" s="210"/>
      <c r="L270" s="210"/>
      <c r="M270" s="211"/>
      <c r="N270" s="20"/>
    </row>
    <row r="271" spans="1:14" ht="20" customHeight="1" x14ac:dyDescent="0.3">
      <c r="A271" s="21"/>
      <c r="B271" s="36"/>
      <c r="C271" s="25"/>
      <c r="D271" s="45" t="s">
        <v>73</v>
      </c>
      <c r="E271" s="233"/>
      <c r="F271" s="234"/>
      <c r="G271" s="234"/>
      <c r="H271" s="235"/>
      <c r="I271" s="25"/>
      <c r="J271" s="44" t="s">
        <v>72</v>
      </c>
      <c r="K271" s="233"/>
      <c r="L271" s="234"/>
      <c r="M271" s="235"/>
      <c r="N271" s="20"/>
    </row>
    <row r="272" spans="1:14" ht="25" customHeight="1" x14ac:dyDescent="0.3">
      <c r="A272" s="21"/>
      <c r="B272" s="41" t="str">
        <f>IF(C124="","B.  Honoring invitee's expressed need",CONCATENATE("B.  Honoring ",C124,"'s expressed need"))</f>
        <v>B.  Honoring invitee's expressed need</v>
      </c>
      <c r="C272" s="36"/>
      <c r="D272" s="36"/>
      <c r="E272" s="36"/>
      <c r="F272" s="36"/>
      <c r="G272" s="36"/>
      <c r="H272" s="36"/>
      <c r="I272" s="40"/>
      <c r="J272" s="36"/>
      <c r="K272" s="36"/>
      <c r="L272" s="36"/>
      <c r="M272" s="46" t="str">
        <f>IF(G275="","",J124)</f>
        <v/>
      </c>
      <c r="N272" s="20"/>
    </row>
    <row r="273" spans="1:14" ht="45" customHeight="1" x14ac:dyDescent="0.3">
      <c r="A273" s="21"/>
      <c r="B273" s="36"/>
      <c r="C273" s="215" t="str">
        <f>IF(C124="","Honoring invitee's expressed need",CONCATENATE("Honoring ",C124,"'s expressed need"))</f>
        <v>Honoring invitee's expressed need</v>
      </c>
      <c r="D273" s="226"/>
      <c r="E273" s="226"/>
      <c r="F273" s="185"/>
      <c r="G273" s="186"/>
      <c r="H273" s="186"/>
      <c r="I273" s="186"/>
      <c r="J273" s="186"/>
      <c r="K273" s="186"/>
      <c r="L273" s="186"/>
      <c r="M273" s="187"/>
      <c r="N273" s="20"/>
    </row>
    <row r="274" spans="1:14" ht="45" customHeight="1" x14ac:dyDescent="0.3">
      <c r="A274" s="21"/>
      <c r="B274" s="36"/>
      <c r="C274" s="226" t="str">
        <f>IF(C124="","Invitee's feedback to my efforts",CONCATENATE(C124,"'s feedback to my efforts"))</f>
        <v>Invitee's feedback to my efforts</v>
      </c>
      <c r="D274" s="226"/>
      <c r="E274" s="226"/>
      <c r="F274" s="185"/>
      <c r="G274" s="186"/>
      <c r="H274" s="186"/>
      <c r="I274" s="186"/>
      <c r="J274" s="186"/>
      <c r="K274" s="186"/>
      <c r="L274" s="186"/>
      <c r="M274" s="187"/>
      <c r="N274" s="20"/>
    </row>
    <row r="275" spans="1:14" ht="20" customHeight="1" x14ac:dyDescent="0.3">
      <c r="A275" s="21"/>
      <c r="B275" s="36"/>
      <c r="C275" s="188" t="str">
        <f>IF(C124="","Their satisfaction level ",CONCATENATE(C124,"'s satisfaction level "))</f>
        <v xml:space="preserve">Their satisfaction level </v>
      </c>
      <c r="D275" s="188"/>
      <c r="E275" s="188"/>
      <c r="F275" s="188"/>
      <c r="G275" s="190"/>
      <c r="H275" s="191"/>
      <c r="I275" s="192"/>
      <c r="J275" s="229" t="str">
        <f>IF(C124="","Their emotional response ",CONCATENATE(C124,"'s emotional response "))</f>
        <v xml:space="preserve">Their emotional response </v>
      </c>
      <c r="K275" s="229"/>
      <c r="L275" s="230"/>
      <c r="M275" s="43"/>
      <c r="N275" s="20"/>
    </row>
    <row r="276" spans="1:14" ht="20" customHeight="1" x14ac:dyDescent="0.3">
      <c r="A276" s="21"/>
      <c r="B276" s="36"/>
      <c r="C276" s="39"/>
      <c r="D276" s="39"/>
      <c r="E276" s="39"/>
      <c r="F276" s="39"/>
      <c r="G276" s="39"/>
      <c r="H276" s="39"/>
      <c r="I276" s="39"/>
      <c r="J276" s="39"/>
      <c r="K276" s="39"/>
      <c r="L276" s="39"/>
      <c r="M276" s="39"/>
      <c r="N276" s="20"/>
    </row>
    <row r="277" spans="1:14" ht="25" customHeight="1" x14ac:dyDescent="0.3">
      <c r="A277" s="21"/>
      <c r="B277" s="41" t="str">
        <f>IF(C124="","C.  My expressed need to ask this invitee",CONCATENATE("C.  My expressed need to ask ",C124))</f>
        <v>C.  My expressed need to ask this invitee</v>
      </c>
      <c r="C277" s="38"/>
      <c r="D277" s="38"/>
      <c r="E277" s="38"/>
      <c r="F277" s="37"/>
      <c r="G277" s="37"/>
      <c r="H277" s="37"/>
      <c r="I277" s="37"/>
      <c r="J277" s="37"/>
      <c r="K277" s="37"/>
      <c r="L277" s="37"/>
      <c r="M277" s="49" t="str">
        <f>IF(OR(G281="",M281=""),"",K124)</f>
        <v/>
      </c>
      <c r="N277" s="20"/>
    </row>
    <row r="278" spans="1:14" ht="45" customHeight="1" x14ac:dyDescent="0.3">
      <c r="A278" s="21"/>
      <c r="B278" s="52" t="s">
        <v>87</v>
      </c>
      <c r="C278" s="183" t="str">
        <f>IF(C124="","Affirming this invitee",CONCATENATE("Affirming ",C124))</f>
        <v>Affirming this invitee</v>
      </c>
      <c r="D278" s="183"/>
      <c r="E278" s="183"/>
      <c r="F278" s="185" t="s">
        <v>89</v>
      </c>
      <c r="G278" s="186"/>
      <c r="H278" s="186"/>
      <c r="I278" s="186"/>
      <c r="J278" s="186"/>
      <c r="K278" s="186"/>
      <c r="L278" s="186"/>
      <c r="M278" s="232"/>
      <c r="N278" s="20"/>
    </row>
    <row r="279" spans="1:14" ht="45" customHeight="1" x14ac:dyDescent="0.3">
      <c r="A279" s="21"/>
      <c r="B279" s="53" t="s">
        <v>88</v>
      </c>
      <c r="C279" s="183" t="str">
        <f>IF(C124="","My need this invitee could respect",CONCATENATE("My need ",C124," could respect"))</f>
        <v>My need this invitee could respect</v>
      </c>
      <c r="D279" s="183"/>
      <c r="E279" s="183"/>
      <c r="F279" s="185" t="s">
        <v>155</v>
      </c>
      <c r="G279" s="186"/>
      <c r="H279" s="186"/>
      <c r="I279" s="186"/>
      <c r="J279" s="186"/>
      <c r="K279" s="186"/>
      <c r="L279" s="186"/>
      <c r="M279" s="187"/>
      <c r="N279" s="20"/>
    </row>
    <row r="280" spans="1:14" ht="45" customHeight="1" x14ac:dyDescent="0.3">
      <c r="A280" s="21"/>
      <c r="B280" s="52" t="s">
        <v>87</v>
      </c>
      <c r="C280" s="183" t="str">
        <f>IF(C124="","Mutuality with this invitee",CONCATENATE("Mutuality with ",C124))</f>
        <v>Mutuality with this invitee</v>
      </c>
      <c r="D280" s="183"/>
      <c r="E280" s="183"/>
      <c r="F280" s="185" t="s">
        <v>90</v>
      </c>
      <c r="G280" s="186"/>
      <c r="H280" s="186"/>
      <c r="I280" s="186"/>
      <c r="J280" s="186"/>
      <c r="K280" s="186"/>
      <c r="L280" s="186"/>
      <c r="M280" s="187"/>
      <c r="N280" s="20"/>
    </row>
    <row r="281" spans="1:14" ht="20" customHeight="1" x14ac:dyDescent="0.3">
      <c r="A281" s="21"/>
      <c r="B281" s="36"/>
      <c r="C281" s="188" t="str">
        <f>IF(C124="","Their receptive level ",CONCATENATE(C124,"'s receptive level "))</f>
        <v xml:space="preserve">Their receptive level </v>
      </c>
      <c r="D281" s="188"/>
      <c r="E281" s="188"/>
      <c r="F281" s="188"/>
      <c r="G281" s="190"/>
      <c r="H281" s="191"/>
      <c r="I281" s="192"/>
      <c r="J281" s="194" t="str">
        <f>IF(C124="","Their responsiveness ",CONCATENATE(C124,"'s responsiveness "))</f>
        <v xml:space="preserve">Their responsiveness </v>
      </c>
      <c r="K281" s="194"/>
      <c r="L281" s="195"/>
      <c r="M281" s="51"/>
      <c r="N281" s="20"/>
    </row>
    <row r="282" spans="1:14" ht="20" customHeight="1" x14ac:dyDescent="0.3">
      <c r="A282" s="21"/>
      <c r="B282" s="36"/>
      <c r="C282" s="22"/>
      <c r="D282" s="22"/>
      <c r="E282" s="22"/>
      <c r="F282" s="22"/>
      <c r="G282" s="22"/>
      <c r="H282" s="22"/>
      <c r="I282" s="22"/>
      <c r="J282" s="22"/>
      <c r="K282" s="22"/>
      <c r="L282" s="22"/>
      <c r="M282" s="22"/>
      <c r="N282" s="20"/>
    </row>
    <row r="283" spans="1:14" ht="25" customHeight="1" x14ac:dyDescent="0.3">
      <c r="A283" s="21"/>
      <c r="B283" s="41" t="str">
        <f>IF(C124="","D.  Interest in my potential wellness campaign",CONCATENATE("D.  ",C124,"'s interest in my potential wellness campaign"))</f>
        <v>D.  Interest in my potential wellness campaign</v>
      </c>
      <c r="C283" s="39"/>
      <c r="D283" s="39"/>
      <c r="E283" s="39"/>
      <c r="F283" s="39"/>
      <c r="G283" s="39"/>
      <c r="H283" s="39"/>
      <c r="I283" s="39"/>
      <c r="J283" s="39"/>
      <c r="K283" s="39"/>
      <c r="L283" s="39"/>
      <c r="M283" s="49" t="str">
        <f>IF(OR(C286="",I286="",L286=""),"",L124)</f>
        <v/>
      </c>
      <c r="N283" s="20"/>
    </row>
    <row r="284" spans="1:14" ht="20" customHeight="1" x14ac:dyDescent="0.3">
      <c r="A284" s="21"/>
      <c r="B284" s="36"/>
      <c r="C284" s="39"/>
      <c r="D284" s="39"/>
      <c r="E284" s="50" t="s">
        <v>96</v>
      </c>
      <c r="F284" s="196" t="str">
        <f>IF(F260="","",F260)</f>
        <v/>
      </c>
      <c r="G284" s="197"/>
      <c r="H284" s="197"/>
      <c r="I284" s="197"/>
      <c r="J284" s="197"/>
      <c r="K284" s="197"/>
      <c r="L284" s="197"/>
      <c r="M284" s="198"/>
      <c r="N284" s="20"/>
    </row>
    <row r="285" spans="1:14" ht="20" customHeight="1" x14ac:dyDescent="0.3">
      <c r="A285" s="21"/>
      <c r="B285" s="36"/>
      <c r="C285" s="24" t="s">
        <v>22</v>
      </c>
      <c r="D285" s="24"/>
      <c r="E285" s="42" t="s">
        <v>25</v>
      </c>
      <c r="F285" s="34" t="s">
        <v>24</v>
      </c>
      <c r="G285" s="34"/>
      <c r="H285" s="34" t="s">
        <v>30</v>
      </c>
      <c r="I285" s="24" t="s">
        <v>23</v>
      </c>
      <c r="J285" s="24"/>
      <c r="K285" s="24"/>
      <c r="L285" s="231" t="s">
        <v>29</v>
      </c>
      <c r="M285" s="231"/>
      <c r="N285" s="20"/>
    </row>
    <row r="286" spans="1:14" ht="20" customHeight="1" x14ac:dyDescent="0.3">
      <c r="A286" s="21"/>
      <c r="B286" s="36"/>
      <c r="C286" s="200"/>
      <c r="D286" s="202"/>
      <c r="E286" s="33"/>
      <c r="F286" s="200"/>
      <c r="G286" s="202"/>
      <c r="H286" s="33"/>
      <c r="I286" s="200"/>
      <c r="J286" s="202"/>
      <c r="K286" s="43"/>
      <c r="L286" s="203"/>
      <c r="M286" s="204"/>
      <c r="N286" s="20"/>
    </row>
    <row r="287" spans="1:14" ht="20" customHeight="1" x14ac:dyDescent="0.3">
      <c r="A287" s="21"/>
      <c r="B287" s="36"/>
      <c r="C287" s="39"/>
      <c r="D287" s="39"/>
      <c r="E287" s="39"/>
      <c r="F287" s="39"/>
      <c r="G287" s="39"/>
      <c r="H287" s="179" t="str">
        <f>AI1082</f>
        <v/>
      </c>
      <c r="I287" s="179"/>
      <c r="J287" s="179"/>
      <c r="K287" s="179"/>
      <c r="L287" s="179"/>
      <c r="M287" s="179" t="str">
        <f>IF(C266="","","your progress with THIS INVITEE")</f>
        <v/>
      </c>
      <c r="N287" s="20"/>
    </row>
    <row r="288" spans="1:14" ht="30" customHeight="1" x14ac:dyDescent="0.3">
      <c r="A288" s="47"/>
      <c r="B288" s="123">
        <v>7</v>
      </c>
      <c r="C288" s="182" t="str">
        <f>IF(C125="","Invitee 07",CONCATENATE(C125," ",F125))</f>
        <v>Invitee 07</v>
      </c>
      <c r="D288" s="182"/>
      <c r="E288" s="182"/>
      <c r="F288" s="182"/>
      <c r="G288" s="182"/>
      <c r="H288" s="182"/>
      <c r="I288" s="182"/>
      <c r="J288" s="182"/>
      <c r="K288" s="182"/>
      <c r="L288" s="206">
        <f>M125</f>
        <v>0</v>
      </c>
      <c r="M288" s="206"/>
      <c r="N288" s="48"/>
    </row>
    <row r="289" spans="1:14" ht="20" customHeight="1" x14ac:dyDescent="0.3">
      <c r="A289" s="21"/>
      <c r="B289" s="24"/>
      <c r="C289" s="56" t="s">
        <v>104</v>
      </c>
      <c r="D289" s="56"/>
      <c r="E289" s="57"/>
      <c r="F289" s="83" t="s">
        <v>105</v>
      </c>
      <c r="G289" s="56"/>
      <c r="H289" s="56"/>
      <c r="I289" s="83" t="s">
        <v>106</v>
      </c>
      <c r="J289" s="83"/>
      <c r="K289" s="83"/>
      <c r="L289" s="56" t="s">
        <v>107</v>
      </c>
      <c r="M289" s="56"/>
      <c r="N289" s="20"/>
    </row>
    <row r="290" spans="1:14" ht="20" customHeight="1" x14ac:dyDescent="0.3">
      <c r="A290" s="21"/>
      <c r="B290" s="24"/>
      <c r="C290" s="218"/>
      <c r="D290" s="219"/>
      <c r="E290" s="220"/>
      <c r="F290" s="221"/>
      <c r="G290" s="222"/>
      <c r="H290" s="223"/>
      <c r="I290" s="224"/>
      <c r="J290" s="225"/>
      <c r="K290" s="225"/>
      <c r="L290" s="218"/>
      <c r="M290" s="220"/>
      <c r="N290" s="20"/>
    </row>
    <row r="291" spans="1:14" ht="20" customHeight="1" x14ac:dyDescent="0.3">
      <c r="A291" s="21"/>
      <c r="B291" s="41" t="str">
        <f>IF(C125="","A.  Inviting contact to express their need",CONCATENATE("A.  Inviting ",C125," to express their need"))</f>
        <v>A.  Inviting contact to express their need</v>
      </c>
      <c r="C291" s="36"/>
      <c r="D291" s="36"/>
      <c r="E291" s="36"/>
      <c r="F291" s="36"/>
      <c r="G291" s="36"/>
      <c r="H291" s="36"/>
      <c r="I291" s="40"/>
      <c r="J291" s="36"/>
      <c r="K291" s="36"/>
      <c r="L291" s="36"/>
      <c r="M291" s="46" t="str">
        <f>IF(OR(L293="",K295=""),"",I125)</f>
        <v/>
      </c>
      <c r="N291" s="20"/>
    </row>
    <row r="292" spans="1:14" ht="20" customHeight="1" x14ac:dyDescent="0.3">
      <c r="A292" s="21"/>
      <c r="B292" s="41"/>
      <c r="C292" s="24" t="s">
        <v>22</v>
      </c>
      <c r="D292" s="24"/>
      <c r="E292" s="42" t="s">
        <v>25</v>
      </c>
      <c r="F292" s="34" t="s">
        <v>24</v>
      </c>
      <c r="G292" s="34"/>
      <c r="H292" s="34" t="s">
        <v>30</v>
      </c>
      <c r="I292" s="24" t="s">
        <v>23</v>
      </c>
      <c r="J292" s="24"/>
      <c r="K292" s="24"/>
      <c r="L292" s="231" t="s">
        <v>29</v>
      </c>
      <c r="M292" s="231"/>
      <c r="N292" s="20"/>
    </row>
    <row r="293" spans="1:14" ht="20" customHeight="1" x14ac:dyDescent="0.3">
      <c r="A293" s="21"/>
      <c r="B293" s="23"/>
      <c r="C293" s="200"/>
      <c r="D293" s="201"/>
      <c r="E293" s="33"/>
      <c r="F293" s="200"/>
      <c r="G293" s="201"/>
      <c r="H293" s="33"/>
      <c r="I293" s="200"/>
      <c r="J293" s="201"/>
      <c r="K293" s="43"/>
      <c r="L293" s="203"/>
      <c r="M293" s="204"/>
      <c r="N293" s="20"/>
    </row>
    <row r="294" spans="1:14" ht="60" customHeight="1" x14ac:dyDescent="0.3">
      <c r="A294" s="21"/>
      <c r="B294" s="36"/>
      <c r="C294" s="207" t="str">
        <f>IF(C125="", "Their expressed need:",CONCATENATE(C125,"'s expressed need:"))</f>
        <v>Their expressed need:</v>
      </c>
      <c r="D294" s="208"/>
      <c r="E294" s="209"/>
      <c r="F294" s="210"/>
      <c r="G294" s="210"/>
      <c r="H294" s="210"/>
      <c r="I294" s="210"/>
      <c r="J294" s="210"/>
      <c r="K294" s="210"/>
      <c r="L294" s="210"/>
      <c r="M294" s="211"/>
      <c r="N294" s="20"/>
    </row>
    <row r="295" spans="1:14" ht="20" customHeight="1" x14ac:dyDescent="0.3">
      <c r="A295" s="21"/>
      <c r="B295" s="36"/>
      <c r="C295" s="25"/>
      <c r="D295" s="45" t="s">
        <v>73</v>
      </c>
      <c r="E295" s="212"/>
      <c r="F295" s="213"/>
      <c r="G295" s="213"/>
      <c r="H295" s="214"/>
      <c r="I295" s="25"/>
      <c r="J295" s="44" t="s">
        <v>72</v>
      </c>
      <c r="K295" s="212"/>
      <c r="L295" s="213"/>
      <c r="M295" s="214"/>
      <c r="N295" s="20"/>
    </row>
    <row r="296" spans="1:14" ht="25" customHeight="1" x14ac:dyDescent="0.3">
      <c r="A296" s="21"/>
      <c r="B296" s="41" t="str">
        <f>IF(C125="","B.  Honoring invitee's expressed need",CONCATENATE("B.  Honoring ",C125,"'s expressed need"))</f>
        <v>B.  Honoring invitee's expressed need</v>
      </c>
      <c r="C296" s="36"/>
      <c r="D296" s="36"/>
      <c r="E296" s="36"/>
      <c r="F296" s="36"/>
      <c r="G296" s="36"/>
      <c r="H296" s="36"/>
      <c r="I296" s="40"/>
      <c r="J296" s="36"/>
      <c r="K296" s="36"/>
      <c r="L296" s="36"/>
      <c r="M296" s="46" t="str">
        <f>IF(G299="","",J125)</f>
        <v/>
      </c>
      <c r="N296" s="20"/>
    </row>
    <row r="297" spans="1:14" ht="45" customHeight="1" x14ac:dyDescent="0.3">
      <c r="A297" s="21"/>
      <c r="B297" s="36"/>
      <c r="C297" s="215" t="str">
        <f>IF(C125="","Honoring invitee's expressed need",CONCATENATE("Honoring ",C125,"'s expressed need"))</f>
        <v>Honoring invitee's expressed need</v>
      </c>
      <c r="D297" s="215"/>
      <c r="E297" s="216"/>
      <c r="F297" s="185"/>
      <c r="G297" s="186"/>
      <c r="H297" s="186"/>
      <c r="I297" s="186"/>
      <c r="J297" s="186"/>
      <c r="K297" s="186"/>
      <c r="L297" s="186"/>
      <c r="M297" s="187"/>
      <c r="N297" s="20"/>
    </row>
    <row r="298" spans="1:14" ht="45" customHeight="1" x14ac:dyDescent="0.3">
      <c r="A298" s="21"/>
      <c r="B298" s="36"/>
      <c r="C298" s="226" t="str">
        <f>IF(C125="","Invitee's feedback to my efforts",CONCATENATE(C125,"'s feedback to my efforts"))</f>
        <v>Invitee's feedback to my efforts</v>
      </c>
      <c r="D298" s="226"/>
      <c r="E298" s="227"/>
      <c r="F298" s="185"/>
      <c r="G298" s="186"/>
      <c r="H298" s="186"/>
      <c r="I298" s="186"/>
      <c r="J298" s="186"/>
      <c r="K298" s="186"/>
      <c r="L298" s="186"/>
      <c r="M298" s="187"/>
      <c r="N298" s="20"/>
    </row>
    <row r="299" spans="1:14" ht="20" customHeight="1" x14ac:dyDescent="0.3">
      <c r="A299" s="21"/>
      <c r="B299" s="36"/>
      <c r="C299" s="188" t="str">
        <f>IF(C125="","Their satisfaction level ",CONCATENATE(C125,"'s satisfaction level "))</f>
        <v xml:space="preserve">Their satisfaction level </v>
      </c>
      <c r="D299" s="188"/>
      <c r="E299" s="188"/>
      <c r="F299" s="189"/>
      <c r="G299" s="190"/>
      <c r="H299" s="191"/>
      <c r="I299" s="192"/>
      <c r="J299" s="228" t="str">
        <f>IF(C125="","Their emotional response ",CONCATENATE(C125,"'s emotional response "))</f>
        <v xml:space="preserve">Their emotional response </v>
      </c>
      <c r="K299" s="229"/>
      <c r="L299" s="230"/>
      <c r="M299" s="43"/>
      <c r="N299" s="20"/>
    </row>
    <row r="300" spans="1:14" ht="20" customHeight="1" x14ac:dyDescent="0.3">
      <c r="A300" s="21"/>
      <c r="B300" s="36"/>
      <c r="C300" s="39"/>
      <c r="D300" s="39"/>
      <c r="E300" s="39"/>
      <c r="F300" s="39"/>
      <c r="G300" s="39"/>
      <c r="H300" s="39"/>
      <c r="I300" s="39"/>
      <c r="J300" s="39"/>
      <c r="K300" s="39"/>
      <c r="L300" s="39"/>
      <c r="M300" s="39"/>
      <c r="N300" s="20"/>
    </row>
    <row r="301" spans="1:14" ht="25" customHeight="1" x14ac:dyDescent="0.3">
      <c r="A301" s="21"/>
      <c r="B301" s="41" t="str">
        <f>IF(C125="","C.  My expressed need to ask this invitee",CONCATENATE("C.  My expressed need to ask ",C125))</f>
        <v>C.  My expressed need to ask this invitee</v>
      </c>
      <c r="C301" s="38"/>
      <c r="D301" s="38"/>
      <c r="E301" s="38"/>
      <c r="F301" s="37"/>
      <c r="G301" s="37"/>
      <c r="H301" s="37"/>
      <c r="I301" s="37"/>
      <c r="J301" s="37"/>
      <c r="K301" s="37"/>
      <c r="L301" s="37"/>
      <c r="M301" s="49" t="str">
        <f>IF(OR(G305="",M305=""),"",K125)</f>
        <v/>
      </c>
      <c r="N301" s="20"/>
    </row>
    <row r="302" spans="1:14" ht="45" customHeight="1" x14ac:dyDescent="0.3">
      <c r="A302" s="21"/>
      <c r="B302" s="52" t="s">
        <v>87</v>
      </c>
      <c r="C302" s="183" t="str">
        <f>IF(C125="","Affirming this invitee",CONCATENATE("Affirming ",C125))</f>
        <v>Affirming this invitee</v>
      </c>
      <c r="D302" s="183"/>
      <c r="E302" s="184"/>
      <c r="F302" s="185" t="s">
        <v>89</v>
      </c>
      <c r="G302" s="186"/>
      <c r="H302" s="186"/>
      <c r="I302" s="186"/>
      <c r="J302" s="186"/>
      <c r="K302" s="186"/>
      <c r="L302" s="186"/>
      <c r="M302" s="187"/>
      <c r="N302" s="20"/>
    </row>
    <row r="303" spans="1:14" ht="45" customHeight="1" x14ac:dyDescent="0.3">
      <c r="A303" s="21"/>
      <c r="B303" s="53" t="s">
        <v>88</v>
      </c>
      <c r="C303" s="183" t="str">
        <f>IF(C125="","My need this invitee could respect",CONCATENATE("My need ",C125," could respect"))</f>
        <v>My need this invitee could respect</v>
      </c>
      <c r="D303" s="183"/>
      <c r="E303" s="184"/>
      <c r="F303" s="185" t="s">
        <v>155</v>
      </c>
      <c r="G303" s="186"/>
      <c r="H303" s="186"/>
      <c r="I303" s="186"/>
      <c r="J303" s="186"/>
      <c r="K303" s="186"/>
      <c r="L303" s="186"/>
      <c r="M303" s="187"/>
      <c r="N303" s="20"/>
    </row>
    <row r="304" spans="1:14" ht="45" customHeight="1" x14ac:dyDescent="0.3">
      <c r="A304" s="21"/>
      <c r="B304" s="52" t="s">
        <v>87</v>
      </c>
      <c r="C304" s="183" t="str">
        <f>IF(C125="","Mutuality with this invitee",CONCATENATE("Mutuality with ",C125))</f>
        <v>Mutuality with this invitee</v>
      </c>
      <c r="D304" s="183"/>
      <c r="E304" s="184"/>
      <c r="F304" s="185" t="s">
        <v>90</v>
      </c>
      <c r="G304" s="186"/>
      <c r="H304" s="186"/>
      <c r="I304" s="186"/>
      <c r="J304" s="186"/>
      <c r="K304" s="186"/>
      <c r="L304" s="186"/>
      <c r="M304" s="187"/>
      <c r="N304" s="20"/>
    </row>
    <row r="305" spans="1:14" ht="20" customHeight="1" x14ac:dyDescent="0.3">
      <c r="A305" s="21"/>
      <c r="B305" s="36"/>
      <c r="C305" s="188" t="str">
        <f>IF(C125="","Their receptive level ",CONCATENATE(C125,"'s receptive level "))</f>
        <v xml:space="preserve">Their receptive level </v>
      </c>
      <c r="D305" s="188"/>
      <c r="E305" s="188"/>
      <c r="F305" s="189"/>
      <c r="G305" s="190"/>
      <c r="H305" s="191"/>
      <c r="I305" s="192"/>
      <c r="J305" s="193" t="str">
        <f>IF(C125="","Their responsiveness ",CONCATENATE(C125,"'s responsiveness "))</f>
        <v xml:space="preserve">Their responsiveness </v>
      </c>
      <c r="K305" s="194"/>
      <c r="L305" s="195"/>
      <c r="M305" s="51"/>
      <c r="N305" s="20"/>
    </row>
    <row r="306" spans="1:14" ht="20" customHeight="1" x14ac:dyDescent="0.3">
      <c r="A306" s="21"/>
      <c r="B306" s="36"/>
      <c r="C306" s="22"/>
      <c r="D306" s="22"/>
      <c r="E306" s="22"/>
      <c r="F306" s="22"/>
      <c r="G306" s="22"/>
      <c r="H306" s="22"/>
      <c r="I306" s="22"/>
      <c r="J306" s="22"/>
      <c r="K306" s="22"/>
      <c r="L306" s="22"/>
      <c r="M306" s="22"/>
      <c r="N306" s="20"/>
    </row>
    <row r="307" spans="1:14" ht="25" customHeight="1" x14ac:dyDescent="0.3">
      <c r="A307" s="21"/>
      <c r="B307" s="41" t="str">
        <f>IF(C125="","D.  Interest in my potential wellness campaign",CONCATENATE("D.  ",C125,"'s interest in my potential wellness campaign"))</f>
        <v>D.  Interest in my potential wellness campaign</v>
      </c>
      <c r="C307" s="39"/>
      <c r="D307" s="39"/>
      <c r="E307" s="39"/>
      <c r="F307" s="39"/>
      <c r="G307" s="39"/>
      <c r="H307" s="39"/>
      <c r="I307" s="39"/>
      <c r="J307" s="39"/>
      <c r="K307" s="39"/>
      <c r="L307" s="39"/>
      <c r="M307" s="49" t="str">
        <f>IF(OR(C310="",I310="",L310=""),"",L125)</f>
        <v/>
      </c>
      <c r="N307" s="20"/>
    </row>
    <row r="308" spans="1:14" ht="20" customHeight="1" x14ac:dyDescent="0.3">
      <c r="A308" s="21"/>
      <c r="B308" s="36"/>
      <c r="C308" s="39"/>
      <c r="D308" s="39"/>
      <c r="E308" s="50" t="s">
        <v>96</v>
      </c>
      <c r="F308" s="196" t="str">
        <f>IF(F284="","",F284)</f>
        <v/>
      </c>
      <c r="G308" s="197"/>
      <c r="H308" s="197"/>
      <c r="I308" s="197"/>
      <c r="J308" s="197"/>
      <c r="K308" s="197"/>
      <c r="L308" s="197"/>
      <c r="M308" s="198"/>
      <c r="N308" s="20"/>
    </row>
    <row r="309" spans="1:14" ht="20" customHeight="1" x14ac:dyDescent="0.3">
      <c r="A309" s="21"/>
      <c r="B309" s="36"/>
      <c r="C309" s="24" t="s">
        <v>22</v>
      </c>
      <c r="D309" s="24"/>
      <c r="E309" s="42" t="s">
        <v>25</v>
      </c>
      <c r="F309" s="34" t="s">
        <v>24</v>
      </c>
      <c r="G309" s="34"/>
      <c r="H309" s="34" t="s">
        <v>30</v>
      </c>
      <c r="I309" s="24" t="s">
        <v>23</v>
      </c>
      <c r="J309" s="24"/>
      <c r="K309" s="24"/>
      <c r="L309" s="199" t="s">
        <v>29</v>
      </c>
      <c r="M309" s="199"/>
      <c r="N309" s="20"/>
    </row>
    <row r="310" spans="1:14" ht="20" customHeight="1" x14ac:dyDescent="0.3">
      <c r="A310" s="21"/>
      <c r="B310" s="36"/>
      <c r="C310" s="200"/>
      <c r="D310" s="201"/>
      <c r="E310" s="33"/>
      <c r="F310" s="200"/>
      <c r="G310" s="202"/>
      <c r="H310" s="33"/>
      <c r="I310" s="200"/>
      <c r="J310" s="201"/>
      <c r="K310" s="43"/>
      <c r="L310" s="203"/>
      <c r="M310" s="204"/>
      <c r="N310" s="20"/>
    </row>
    <row r="311" spans="1:14" ht="20" customHeight="1" x14ac:dyDescent="0.3">
      <c r="A311" s="21"/>
      <c r="B311" s="36"/>
      <c r="C311" s="39"/>
      <c r="D311" s="39"/>
      <c r="E311" s="39"/>
      <c r="F311" s="39"/>
      <c r="G311" s="39"/>
      <c r="H311" s="179" t="str">
        <f>AI1083</f>
        <v/>
      </c>
      <c r="I311" s="179"/>
      <c r="J311" s="179"/>
      <c r="K311" s="179"/>
      <c r="L311" s="179"/>
      <c r="M311" s="179" t="str">
        <f>IF(C290="","","your progress with THIS INVITEE")</f>
        <v/>
      </c>
      <c r="N311" s="20"/>
    </row>
    <row r="312" spans="1:14" ht="30" customHeight="1" x14ac:dyDescent="0.3">
      <c r="A312" s="47"/>
      <c r="B312" s="123">
        <v>8</v>
      </c>
      <c r="C312" s="182" t="str">
        <f>IF(C126="","Invitee 08",CONCATENATE(C126," ",F126))</f>
        <v>Invitee 08</v>
      </c>
      <c r="D312" s="182"/>
      <c r="E312" s="182"/>
      <c r="F312" s="182"/>
      <c r="G312" s="182"/>
      <c r="H312" s="182"/>
      <c r="I312" s="182"/>
      <c r="J312" s="182"/>
      <c r="K312" s="182"/>
      <c r="L312" s="206">
        <f>M126</f>
        <v>0</v>
      </c>
      <c r="M312" s="206"/>
      <c r="N312" s="48"/>
    </row>
    <row r="313" spans="1:14" ht="20" customHeight="1" x14ac:dyDescent="0.3">
      <c r="A313" s="21"/>
      <c r="B313" s="24"/>
      <c r="C313" s="56" t="s">
        <v>104</v>
      </c>
      <c r="D313" s="56"/>
      <c r="E313" s="57"/>
      <c r="F313" s="83" t="s">
        <v>105</v>
      </c>
      <c r="G313" s="56"/>
      <c r="H313" s="56"/>
      <c r="I313" s="83" t="s">
        <v>106</v>
      </c>
      <c r="J313" s="83"/>
      <c r="K313" s="83"/>
      <c r="L313" s="56" t="s">
        <v>107</v>
      </c>
      <c r="M313" s="56"/>
      <c r="N313" s="20"/>
    </row>
    <row r="314" spans="1:14" ht="20" customHeight="1" x14ac:dyDescent="0.3">
      <c r="A314" s="21"/>
      <c r="B314" s="24"/>
      <c r="C314" s="218"/>
      <c r="D314" s="219"/>
      <c r="E314" s="220"/>
      <c r="F314" s="221"/>
      <c r="G314" s="222"/>
      <c r="H314" s="223"/>
      <c r="I314" s="224"/>
      <c r="J314" s="225"/>
      <c r="K314" s="225"/>
      <c r="L314" s="218"/>
      <c r="M314" s="220"/>
      <c r="N314" s="20"/>
    </row>
    <row r="315" spans="1:14" ht="20" customHeight="1" x14ac:dyDescent="0.3">
      <c r="A315" s="21"/>
      <c r="B315" s="41" t="str">
        <f>IF(C126="","A.  Inviting contact to express their need",CONCATENATE("A.  Inviting ",C126," to express their need"))</f>
        <v>A.  Inviting contact to express their need</v>
      </c>
      <c r="C315" s="36"/>
      <c r="D315" s="36"/>
      <c r="E315" s="36"/>
      <c r="F315" s="36"/>
      <c r="G315" s="36"/>
      <c r="H315" s="36"/>
      <c r="I315" s="40"/>
      <c r="J315" s="36"/>
      <c r="K315" s="36"/>
      <c r="L315" s="36"/>
      <c r="M315" s="46" t="str">
        <f>IF(OR(L317="",K319=""),"",I126)</f>
        <v/>
      </c>
      <c r="N315" s="20"/>
    </row>
    <row r="316" spans="1:14" ht="20" customHeight="1" x14ac:dyDescent="0.3">
      <c r="A316" s="21"/>
      <c r="B316" s="41"/>
      <c r="C316" s="24" t="s">
        <v>22</v>
      </c>
      <c r="D316" s="24"/>
      <c r="E316" s="42" t="s">
        <v>25</v>
      </c>
      <c r="F316" s="34" t="s">
        <v>24</v>
      </c>
      <c r="G316" s="34"/>
      <c r="H316" s="34" t="s">
        <v>30</v>
      </c>
      <c r="I316" s="24" t="s">
        <v>23</v>
      </c>
      <c r="J316" s="24"/>
      <c r="K316" s="24"/>
      <c r="L316" s="231" t="s">
        <v>29</v>
      </c>
      <c r="M316" s="231"/>
      <c r="N316" s="20"/>
    </row>
    <row r="317" spans="1:14" ht="20" customHeight="1" x14ac:dyDescent="0.3">
      <c r="A317" s="21"/>
      <c r="B317" s="23"/>
      <c r="C317" s="200"/>
      <c r="D317" s="201"/>
      <c r="E317" s="33"/>
      <c r="F317" s="200"/>
      <c r="G317" s="201"/>
      <c r="H317" s="33"/>
      <c r="I317" s="200"/>
      <c r="J317" s="201"/>
      <c r="K317" s="43"/>
      <c r="L317" s="203"/>
      <c r="M317" s="204"/>
      <c r="N317" s="20"/>
    </row>
    <row r="318" spans="1:14" ht="60" customHeight="1" x14ac:dyDescent="0.3">
      <c r="A318" s="21"/>
      <c r="B318" s="36"/>
      <c r="C318" s="207" t="str">
        <f>IF(C126="", "Their expressed need:",CONCATENATE(C126,"'s expressed need:"))</f>
        <v>Their expressed need:</v>
      </c>
      <c r="D318" s="208"/>
      <c r="E318" s="209"/>
      <c r="F318" s="210"/>
      <c r="G318" s="210"/>
      <c r="H318" s="210"/>
      <c r="I318" s="210"/>
      <c r="J318" s="210"/>
      <c r="K318" s="210"/>
      <c r="L318" s="210"/>
      <c r="M318" s="211"/>
      <c r="N318" s="20"/>
    </row>
    <row r="319" spans="1:14" ht="20" customHeight="1" x14ac:dyDescent="0.3">
      <c r="A319" s="21"/>
      <c r="B319" s="36"/>
      <c r="C319" s="25"/>
      <c r="D319" s="45" t="s">
        <v>73</v>
      </c>
      <c r="E319" s="212"/>
      <c r="F319" s="213"/>
      <c r="G319" s="213"/>
      <c r="H319" s="214"/>
      <c r="I319" s="25"/>
      <c r="J319" s="44" t="s">
        <v>72</v>
      </c>
      <c r="K319" s="212"/>
      <c r="L319" s="213"/>
      <c r="M319" s="214"/>
      <c r="N319" s="20"/>
    </row>
    <row r="320" spans="1:14" ht="25" customHeight="1" x14ac:dyDescent="0.3">
      <c r="A320" s="21"/>
      <c r="B320" s="41" t="str">
        <f>IF(C126="","B.  Honoring invitee's expressed need",CONCATENATE("B.  Honoring ",C126,"'s expressed need"))</f>
        <v>B.  Honoring invitee's expressed need</v>
      </c>
      <c r="C320" s="36"/>
      <c r="D320" s="36"/>
      <c r="E320" s="36"/>
      <c r="F320" s="36"/>
      <c r="G320" s="36"/>
      <c r="H320" s="36"/>
      <c r="I320" s="40"/>
      <c r="J320" s="36"/>
      <c r="K320" s="36"/>
      <c r="L320" s="36"/>
      <c r="M320" s="46" t="str">
        <f>IF(G323="","",J126)</f>
        <v/>
      </c>
      <c r="N320" s="20"/>
    </row>
    <row r="321" spans="1:14" ht="45" customHeight="1" x14ac:dyDescent="0.3">
      <c r="A321" s="21"/>
      <c r="B321" s="36"/>
      <c r="C321" s="215" t="str">
        <f>IF(C126="","Honoring invitee's expressed need",CONCATENATE("Honoring ",C126,"'s expressed need"))</f>
        <v>Honoring invitee's expressed need</v>
      </c>
      <c r="D321" s="215"/>
      <c r="E321" s="216"/>
      <c r="F321" s="185"/>
      <c r="G321" s="186"/>
      <c r="H321" s="186"/>
      <c r="I321" s="186"/>
      <c r="J321" s="186"/>
      <c r="K321" s="186"/>
      <c r="L321" s="186"/>
      <c r="M321" s="187"/>
      <c r="N321" s="20"/>
    </row>
    <row r="322" spans="1:14" ht="45" customHeight="1" x14ac:dyDescent="0.3">
      <c r="A322" s="21"/>
      <c r="B322" s="36"/>
      <c r="C322" s="226" t="str">
        <f>IF(C126="","Invitee's feedback to my efforts",CONCATENATE(C126,"'s feedback to my efforts"))</f>
        <v>Invitee's feedback to my efforts</v>
      </c>
      <c r="D322" s="226"/>
      <c r="E322" s="227"/>
      <c r="F322" s="185"/>
      <c r="G322" s="186"/>
      <c r="H322" s="186"/>
      <c r="I322" s="186"/>
      <c r="J322" s="186"/>
      <c r="K322" s="186"/>
      <c r="L322" s="186"/>
      <c r="M322" s="187"/>
      <c r="N322" s="20"/>
    </row>
    <row r="323" spans="1:14" ht="20" customHeight="1" x14ac:dyDescent="0.3">
      <c r="A323" s="21"/>
      <c r="B323" s="36"/>
      <c r="C323" s="188" t="str">
        <f>IF(C126="","Their satisfaction level ",CONCATENATE(C126,"'s satisfaction level "))</f>
        <v xml:space="preserve">Their satisfaction level </v>
      </c>
      <c r="D323" s="188"/>
      <c r="E323" s="188"/>
      <c r="F323" s="189"/>
      <c r="G323" s="190"/>
      <c r="H323" s="191"/>
      <c r="I323" s="192"/>
      <c r="J323" s="228" t="str">
        <f>IF(C126="","Their emotional response ",CONCATENATE(C126,"'s emotional response "))</f>
        <v xml:space="preserve">Their emotional response </v>
      </c>
      <c r="K323" s="229"/>
      <c r="L323" s="230"/>
      <c r="M323" s="43"/>
      <c r="N323" s="20"/>
    </row>
    <row r="324" spans="1:14" ht="20" customHeight="1" x14ac:dyDescent="0.3">
      <c r="A324" s="21"/>
      <c r="B324" s="36"/>
      <c r="C324" s="39"/>
      <c r="D324" s="39"/>
      <c r="E324" s="39"/>
      <c r="F324" s="39"/>
      <c r="G324" s="39"/>
      <c r="H324" s="39"/>
      <c r="I324" s="39"/>
      <c r="J324" s="39"/>
      <c r="K324" s="39"/>
      <c r="L324" s="39"/>
      <c r="M324" s="39"/>
      <c r="N324" s="20"/>
    </row>
    <row r="325" spans="1:14" ht="25" customHeight="1" x14ac:dyDescent="0.3">
      <c r="A325" s="21"/>
      <c r="B325" s="41" t="str">
        <f>IF(C126="","C.  My expressed need to ask this invitee",CONCATENATE("C.  My expressed need to ask ",C126))</f>
        <v>C.  My expressed need to ask this invitee</v>
      </c>
      <c r="C325" s="38"/>
      <c r="D325" s="38"/>
      <c r="E325" s="38"/>
      <c r="F325" s="37"/>
      <c r="G325" s="37"/>
      <c r="H325" s="37"/>
      <c r="I325" s="37"/>
      <c r="J325" s="37"/>
      <c r="K325" s="37"/>
      <c r="L325" s="37"/>
      <c r="M325" s="49" t="str">
        <f>IF(OR(G329="",M329=""),"",K126)</f>
        <v/>
      </c>
      <c r="N325" s="20"/>
    </row>
    <row r="326" spans="1:14" ht="45" customHeight="1" x14ac:dyDescent="0.3">
      <c r="A326" s="21"/>
      <c r="B326" s="52" t="s">
        <v>87</v>
      </c>
      <c r="C326" s="183" t="str">
        <f>IF(C126="","Affirming this invitee",CONCATENATE("Affirming ",C126))</f>
        <v>Affirming this invitee</v>
      </c>
      <c r="D326" s="183"/>
      <c r="E326" s="184"/>
      <c r="F326" s="185" t="s">
        <v>89</v>
      </c>
      <c r="G326" s="186"/>
      <c r="H326" s="186"/>
      <c r="I326" s="186"/>
      <c r="J326" s="186"/>
      <c r="K326" s="186"/>
      <c r="L326" s="186"/>
      <c r="M326" s="187"/>
      <c r="N326" s="20"/>
    </row>
    <row r="327" spans="1:14" ht="45" customHeight="1" x14ac:dyDescent="0.3">
      <c r="A327" s="21"/>
      <c r="B327" s="53" t="s">
        <v>88</v>
      </c>
      <c r="C327" s="183" t="str">
        <f>IF(C126="","My need this invitee could respect",CONCATENATE("My need ",C126," could respect"))</f>
        <v>My need this invitee could respect</v>
      </c>
      <c r="D327" s="183"/>
      <c r="E327" s="184"/>
      <c r="F327" s="185" t="s">
        <v>155</v>
      </c>
      <c r="G327" s="186"/>
      <c r="H327" s="186"/>
      <c r="I327" s="186"/>
      <c r="J327" s="186"/>
      <c r="K327" s="186"/>
      <c r="L327" s="186"/>
      <c r="M327" s="187"/>
      <c r="N327" s="20"/>
    </row>
    <row r="328" spans="1:14" ht="45" customHeight="1" x14ac:dyDescent="0.3">
      <c r="A328" s="21"/>
      <c r="B328" s="52" t="s">
        <v>87</v>
      </c>
      <c r="C328" s="183" t="str">
        <f>IF(C126="","Mutuality with this invitee",CONCATENATE("Mutuality with ",C126))</f>
        <v>Mutuality with this invitee</v>
      </c>
      <c r="D328" s="183"/>
      <c r="E328" s="184"/>
      <c r="F328" s="185" t="s">
        <v>90</v>
      </c>
      <c r="G328" s="186"/>
      <c r="H328" s="186"/>
      <c r="I328" s="186"/>
      <c r="J328" s="186"/>
      <c r="K328" s="186"/>
      <c r="L328" s="186"/>
      <c r="M328" s="187"/>
      <c r="N328" s="20"/>
    </row>
    <row r="329" spans="1:14" ht="20" customHeight="1" x14ac:dyDescent="0.3">
      <c r="A329" s="21"/>
      <c r="B329" s="36"/>
      <c r="C329" s="188" t="str">
        <f>IF(C126="","Their receptive level ",CONCATENATE(C126,"'s receptive level "))</f>
        <v xml:space="preserve">Their receptive level </v>
      </c>
      <c r="D329" s="188"/>
      <c r="E329" s="188"/>
      <c r="F329" s="189"/>
      <c r="G329" s="190"/>
      <c r="H329" s="191"/>
      <c r="I329" s="192"/>
      <c r="J329" s="193" t="str">
        <f>IF(C126="","Their responsiveness ",CONCATENATE(C126,"'s responsiveness "))</f>
        <v xml:space="preserve">Their responsiveness </v>
      </c>
      <c r="K329" s="194"/>
      <c r="L329" s="195"/>
      <c r="M329" s="51"/>
      <c r="N329" s="20"/>
    </row>
    <row r="330" spans="1:14" ht="20" customHeight="1" x14ac:dyDescent="0.3">
      <c r="A330" s="21"/>
      <c r="B330" s="36"/>
      <c r="C330" s="22"/>
      <c r="D330" s="22"/>
      <c r="E330" s="22"/>
      <c r="F330" s="22"/>
      <c r="G330" s="22"/>
      <c r="H330" s="22"/>
      <c r="I330" s="22"/>
      <c r="J330" s="22"/>
      <c r="K330" s="22"/>
      <c r="L330" s="22"/>
      <c r="M330" s="22"/>
      <c r="N330" s="20"/>
    </row>
    <row r="331" spans="1:14" ht="25" customHeight="1" x14ac:dyDescent="0.3">
      <c r="A331" s="21"/>
      <c r="B331" s="41" t="str">
        <f>IF(C126="","D.  Interest in my potential wellness campaign",CONCATENATE("D.  ",C126,"'s interest in my potential wellness campaign"))</f>
        <v>D.  Interest in my potential wellness campaign</v>
      </c>
      <c r="C331" s="39"/>
      <c r="D331" s="39"/>
      <c r="E331" s="39"/>
      <c r="F331" s="39"/>
      <c r="G331" s="39"/>
      <c r="H331" s="39"/>
      <c r="I331" s="39"/>
      <c r="J331" s="39"/>
      <c r="K331" s="39"/>
      <c r="L331" s="39"/>
      <c r="M331" s="49">
        <f>L126</f>
        <v>0</v>
      </c>
      <c r="N331" s="20"/>
    </row>
    <row r="332" spans="1:14" ht="20" customHeight="1" x14ac:dyDescent="0.3">
      <c r="A332" s="21"/>
      <c r="B332" s="36"/>
      <c r="C332" s="39"/>
      <c r="D332" s="39"/>
      <c r="E332" s="50" t="s">
        <v>96</v>
      </c>
      <c r="F332" s="196" t="str">
        <f>IF(F308="","",F308)</f>
        <v/>
      </c>
      <c r="G332" s="197"/>
      <c r="H332" s="197"/>
      <c r="I332" s="197"/>
      <c r="J332" s="197"/>
      <c r="K332" s="197"/>
      <c r="L332" s="197"/>
      <c r="M332" s="198"/>
      <c r="N332" s="20"/>
    </row>
    <row r="333" spans="1:14" ht="20" customHeight="1" x14ac:dyDescent="0.3">
      <c r="A333" s="21"/>
      <c r="B333" s="36"/>
      <c r="C333" s="24" t="s">
        <v>22</v>
      </c>
      <c r="D333" s="24"/>
      <c r="E333" s="42" t="s">
        <v>25</v>
      </c>
      <c r="F333" s="34" t="s">
        <v>24</v>
      </c>
      <c r="G333" s="34"/>
      <c r="H333" s="34" t="s">
        <v>30</v>
      </c>
      <c r="I333" s="24" t="s">
        <v>23</v>
      </c>
      <c r="J333" s="24"/>
      <c r="K333" s="24"/>
      <c r="L333" s="199" t="s">
        <v>29</v>
      </c>
      <c r="M333" s="199"/>
      <c r="N333" s="20"/>
    </row>
    <row r="334" spans="1:14" ht="20" customHeight="1" x14ac:dyDescent="0.3">
      <c r="A334" s="21"/>
      <c r="B334" s="36"/>
      <c r="C334" s="200"/>
      <c r="D334" s="201"/>
      <c r="E334" s="33"/>
      <c r="F334" s="200"/>
      <c r="G334" s="202"/>
      <c r="H334" s="33"/>
      <c r="I334" s="200"/>
      <c r="J334" s="201"/>
      <c r="K334" s="43"/>
      <c r="L334" s="203"/>
      <c r="M334" s="204"/>
      <c r="N334" s="20"/>
    </row>
    <row r="335" spans="1:14" ht="20" customHeight="1" x14ac:dyDescent="0.3">
      <c r="A335" s="21"/>
      <c r="B335" s="36"/>
      <c r="C335" s="39"/>
      <c r="D335" s="39"/>
      <c r="E335" s="39"/>
      <c r="F335" s="39"/>
      <c r="G335" s="39"/>
      <c r="H335" s="179" t="str">
        <f>AI1084</f>
        <v/>
      </c>
      <c r="I335" s="179"/>
      <c r="J335" s="179"/>
      <c r="K335" s="179"/>
      <c r="L335" s="179"/>
      <c r="M335" s="179" t="str">
        <f>IF(C314="","","your progress with THIS INVITEE")</f>
        <v/>
      </c>
      <c r="N335" s="20"/>
    </row>
    <row r="336" spans="1:14" ht="30" customHeight="1" x14ac:dyDescent="0.3">
      <c r="A336" s="47"/>
      <c r="B336" s="123">
        <v>9</v>
      </c>
      <c r="C336" s="182" t="str">
        <f>IF(C127="","Invitee 09",CONCATENATE(C127," ",F127))</f>
        <v>Invitee 09</v>
      </c>
      <c r="D336" s="182"/>
      <c r="E336" s="182"/>
      <c r="F336" s="182"/>
      <c r="G336" s="182"/>
      <c r="H336" s="182"/>
      <c r="I336" s="182"/>
      <c r="J336" s="182"/>
      <c r="K336" s="182"/>
      <c r="L336" s="206">
        <f>M127</f>
        <v>0</v>
      </c>
      <c r="M336" s="206"/>
      <c r="N336" s="48"/>
    </row>
    <row r="337" spans="1:14" ht="20" customHeight="1" x14ac:dyDescent="0.3">
      <c r="A337" s="21"/>
      <c r="B337" s="24"/>
      <c r="C337" s="56" t="s">
        <v>104</v>
      </c>
      <c r="D337" s="56"/>
      <c r="E337" s="57"/>
      <c r="F337" s="83" t="s">
        <v>105</v>
      </c>
      <c r="G337" s="56"/>
      <c r="H337" s="56"/>
      <c r="I337" s="83" t="s">
        <v>106</v>
      </c>
      <c r="J337" s="83"/>
      <c r="K337" s="83"/>
      <c r="L337" s="56" t="s">
        <v>107</v>
      </c>
      <c r="M337" s="56"/>
      <c r="N337" s="20"/>
    </row>
    <row r="338" spans="1:14" ht="20" customHeight="1" x14ac:dyDescent="0.3">
      <c r="A338" s="21"/>
      <c r="B338" s="24"/>
      <c r="C338" s="218"/>
      <c r="D338" s="219"/>
      <c r="E338" s="220"/>
      <c r="F338" s="221"/>
      <c r="G338" s="222"/>
      <c r="H338" s="223"/>
      <c r="I338" s="224"/>
      <c r="J338" s="225"/>
      <c r="K338" s="225"/>
      <c r="L338" s="218"/>
      <c r="M338" s="220"/>
      <c r="N338" s="20"/>
    </row>
    <row r="339" spans="1:14" ht="20" customHeight="1" x14ac:dyDescent="0.3">
      <c r="A339" s="21"/>
      <c r="B339" s="41" t="str">
        <f>IF(C127="","A.  Inviting contact to express their need",CONCATENATE("A.  Inviting ",C127," to express their need"))</f>
        <v>A.  Inviting contact to express their need</v>
      </c>
      <c r="C339" s="36"/>
      <c r="D339" s="36"/>
      <c r="E339" s="36"/>
      <c r="F339" s="36"/>
      <c r="G339" s="36"/>
      <c r="H339" s="36"/>
      <c r="I339" s="40"/>
      <c r="J339" s="36"/>
      <c r="K339" s="36"/>
      <c r="L339" s="36"/>
      <c r="M339" s="46" t="str">
        <f>IF(OR(L341="",K343=""),"",I127)</f>
        <v/>
      </c>
      <c r="N339" s="20"/>
    </row>
    <row r="340" spans="1:14" ht="20" customHeight="1" x14ac:dyDescent="0.3">
      <c r="A340" s="21"/>
      <c r="B340" s="41"/>
      <c r="C340" s="24" t="s">
        <v>22</v>
      </c>
      <c r="D340" s="24"/>
      <c r="E340" s="42" t="s">
        <v>25</v>
      </c>
      <c r="F340" s="34" t="s">
        <v>24</v>
      </c>
      <c r="G340" s="34"/>
      <c r="H340" s="34" t="s">
        <v>30</v>
      </c>
      <c r="I340" s="24" t="s">
        <v>23</v>
      </c>
      <c r="J340" s="24"/>
      <c r="K340" s="24"/>
      <c r="L340" s="231" t="s">
        <v>29</v>
      </c>
      <c r="M340" s="231"/>
      <c r="N340" s="20"/>
    </row>
    <row r="341" spans="1:14" ht="20" customHeight="1" x14ac:dyDescent="0.3">
      <c r="A341" s="21"/>
      <c r="B341" s="23"/>
      <c r="C341" s="200"/>
      <c r="D341" s="201"/>
      <c r="E341" s="33"/>
      <c r="F341" s="200"/>
      <c r="G341" s="201"/>
      <c r="H341" s="33"/>
      <c r="I341" s="200"/>
      <c r="J341" s="201"/>
      <c r="K341" s="43"/>
      <c r="L341" s="203"/>
      <c r="M341" s="204"/>
      <c r="N341" s="20"/>
    </row>
    <row r="342" spans="1:14" ht="60" customHeight="1" x14ac:dyDescent="0.3">
      <c r="A342" s="21"/>
      <c r="B342" s="36"/>
      <c r="C342" s="207" t="str">
        <f>IF(C127="", "Their expressed need:",CONCATENATE(C127,"'s expressed need:"))</f>
        <v>Their expressed need:</v>
      </c>
      <c r="D342" s="208"/>
      <c r="E342" s="209"/>
      <c r="F342" s="210"/>
      <c r="G342" s="210"/>
      <c r="H342" s="210"/>
      <c r="I342" s="210"/>
      <c r="J342" s="210"/>
      <c r="K342" s="210"/>
      <c r="L342" s="210"/>
      <c r="M342" s="211"/>
      <c r="N342" s="20"/>
    </row>
    <row r="343" spans="1:14" ht="20" customHeight="1" x14ac:dyDescent="0.3">
      <c r="A343" s="21"/>
      <c r="B343" s="36"/>
      <c r="C343" s="25"/>
      <c r="D343" s="45" t="s">
        <v>73</v>
      </c>
      <c r="E343" s="212"/>
      <c r="F343" s="213"/>
      <c r="G343" s="213"/>
      <c r="H343" s="214"/>
      <c r="I343" s="25"/>
      <c r="J343" s="44" t="s">
        <v>72</v>
      </c>
      <c r="K343" s="212"/>
      <c r="L343" s="213"/>
      <c r="M343" s="214"/>
      <c r="N343" s="20"/>
    </row>
    <row r="344" spans="1:14" ht="25" customHeight="1" x14ac:dyDescent="0.3">
      <c r="A344" s="21"/>
      <c r="B344" s="41" t="str">
        <f>IF(C127="","B.  Honoring invitee's expressed need",CONCATENATE("B.  Honoring ",C127,"'s expressed need"))</f>
        <v>B.  Honoring invitee's expressed need</v>
      </c>
      <c r="C344" s="36"/>
      <c r="D344" s="36"/>
      <c r="E344" s="36"/>
      <c r="F344" s="36"/>
      <c r="G344" s="36"/>
      <c r="H344" s="36"/>
      <c r="I344" s="40"/>
      <c r="J344" s="36"/>
      <c r="K344" s="36"/>
      <c r="L344" s="36"/>
      <c r="M344" s="46" t="str">
        <f>IF(G347="","",J127)</f>
        <v/>
      </c>
      <c r="N344" s="20"/>
    </row>
    <row r="345" spans="1:14" ht="45" customHeight="1" x14ac:dyDescent="0.3">
      <c r="A345" s="21"/>
      <c r="B345" s="36"/>
      <c r="C345" s="215" t="str">
        <f>IF(C127="","Honoring invitee's expressed need",CONCATENATE("Honoring ",C127,"'s expressed need"))</f>
        <v>Honoring invitee's expressed need</v>
      </c>
      <c r="D345" s="215"/>
      <c r="E345" s="216"/>
      <c r="F345" s="185"/>
      <c r="G345" s="186"/>
      <c r="H345" s="186"/>
      <c r="I345" s="186"/>
      <c r="J345" s="186"/>
      <c r="K345" s="186"/>
      <c r="L345" s="186"/>
      <c r="M345" s="187"/>
      <c r="N345" s="20"/>
    </row>
    <row r="346" spans="1:14" ht="45" customHeight="1" x14ac:dyDescent="0.3">
      <c r="A346" s="21"/>
      <c r="B346" s="36"/>
      <c r="C346" s="226" t="str">
        <f>IF(C127="","Invitee's feedback to my efforts",CONCATENATE(C127,"'s feedback to my efforts"))</f>
        <v>Invitee's feedback to my efforts</v>
      </c>
      <c r="D346" s="226"/>
      <c r="E346" s="227"/>
      <c r="F346" s="185"/>
      <c r="G346" s="186"/>
      <c r="H346" s="186"/>
      <c r="I346" s="186"/>
      <c r="J346" s="186"/>
      <c r="K346" s="186"/>
      <c r="L346" s="186"/>
      <c r="M346" s="187"/>
      <c r="N346" s="20"/>
    </row>
    <row r="347" spans="1:14" ht="20" customHeight="1" x14ac:dyDescent="0.3">
      <c r="A347" s="21"/>
      <c r="B347" s="36"/>
      <c r="C347" s="188" t="str">
        <f>IF(C127="","Their satisfaction level ",CONCATENATE(C127,"'s satisfaction level "))</f>
        <v xml:space="preserve">Their satisfaction level </v>
      </c>
      <c r="D347" s="188"/>
      <c r="E347" s="188"/>
      <c r="F347" s="189"/>
      <c r="G347" s="190"/>
      <c r="H347" s="191"/>
      <c r="I347" s="192"/>
      <c r="J347" s="228" t="str">
        <f>IF(C127="","Their emotional response ",CONCATENATE(C127,"'s emotional response "))</f>
        <v xml:space="preserve">Their emotional response </v>
      </c>
      <c r="K347" s="229"/>
      <c r="L347" s="230"/>
      <c r="M347" s="43"/>
      <c r="N347" s="20"/>
    </row>
    <row r="348" spans="1:14" ht="20" customHeight="1" x14ac:dyDescent="0.3">
      <c r="A348" s="21"/>
      <c r="B348" s="36"/>
      <c r="C348" s="39"/>
      <c r="D348" s="39"/>
      <c r="E348" s="39"/>
      <c r="F348" s="39"/>
      <c r="G348" s="39"/>
      <c r="H348" s="39"/>
      <c r="I348" s="39"/>
      <c r="J348" s="39"/>
      <c r="K348" s="39"/>
      <c r="L348" s="39"/>
      <c r="M348" s="39"/>
      <c r="N348" s="20"/>
    </row>
    <row r="349" spans="1:14" ht="25" customHeight="1" x14ac:dyDescent="0.3">
      <c r="A349" s="21"/>
      <c r="B349" s="41" t="str">
        <f>IF(C127="","C.  My expressed need to ask this invitee",CONCATENATE("C.  My expressed need to ask ",C127))</f>
        <v>C.  My expressed need to ask this invitee</v>
      </c>
      <c r="C349" s="38"/>
      <c r="D349" s="38"/>
      <c r="E349" s="38"/>
      <c r="F349" s="37"/>
      <c r="G349" s="37"/>
      <c r="H349" s="37"/>
      <c r="I349" s="37"/>
      <c r="J349" s="37"/>
      <c r="K349" s="37"/>
      <c r="L349" s="37"/>
      <c r="M349" s="49" t="str">
        <f>IF(OR(G353="",M353=""),"",K127)</f>
        <v/>
      </c>
      <c r="N349" s="20"/>
    </row>
    <row r="350" spans="1:14" ht="45" customHeight="1" x14ac:dyDescent="0.3">
      <c r="A350" s="21"/>
      <c r="B350" s="52" t="s">
        <v>87</v>
      </c>
      <c r="C350" s="183" t="str">
        <f>IF(C127="","Affirming this invitee",CONCATENATE("Affirming ",C127))</f>
        <v>Affirming this invitee</v>
      </c>
      <c r="D350" s="183"/>
      <c r="E350" s="184"/>
      <c r="F350" s="185" t="s">
        <v>89</v>
      </c>
      <c r="G350" s="186"/>
      <c r="H350" s="186"/>
      <c r="I350" s="186"/>
      <c r="J350" s="186"/>
      <c r="K350" s="186"/>
      <c r="L350" s="186"/>
      <c r="M350" s="187"/>
      <c r="N350" s="20"/>
    </row>
    <row r="351" spans="1:14" ht="45" customHeight="1" x14ac:dyDescent="0.3">
      <c r="A351" s="21"/>
      <c r="B351" s="53" t="s">
        <v>88</v>
      </c>
      <c r="C351" s="183" t="str">
        <f>IF(C127="","My need this invitee could respect",CONCATENATE("My need ",C127," could respect"))</f>
        <v>My need this invitee could respect</v>
      </c>
      <c r="D351" s="183"/>
      <c r="E351" s="184"/>
      <c r="F351" s="185" t="s">
        <v>155</v>
      </c>
      <c r="G351" s="186"/>
      <c r="H351" s="186"/>
      <c r="I351" s="186"/>
      <c r="J351" s="186"/>
      <c r="K351" s="186"/>
      <c r="L351" s="186"/>
      <c r="M351" s="187"/>
      <c r="N351" s="20"/>
    </row>
    <row r="352" spans="1:14" ht="45" customHeight="1" x14ac:dyDescent="0.3">
      <c r="A352" s="21"/>
      <c r="B352" s="52" t="s">
        <v>87</v>
      </c>
      <c r="C352" s="183" t="str">
        <f>IF(C127="","Mutuality with this invitee",CONCATENATE("Mutuality with ",C127))</f>
        <v>Mutuality with this invitee</v>
      </c>
      <c r="D352" s="183"/>
      <c r="E352" s="184"/>
      <c r="F352" s="185" t="s">
        <v>90</v>
      </c>
      <c r="G352" s="186"/>
      <c r="H352" s="186"/>
      <c r="I352" s="186"/>
      <c r="J352" s="186"/>
      <c r="K352" s="186"/>
      <c r="L352" s="186"/>
      <c r="M352" s="187"/>
      <c r="N352" s="20"/>
    </row>
    <row r="353" spans="1:14" ht="20" customHeight="1" x14ac:dyDescent="0.3">
      <c r="A353" s="21"/>
      <c r="B353" s="36"/>
      <c r="C353" s="188" t="str">
        <f>IF(C127="","Their receptive level ",CONCATENATE(C127,"'s receptive level "))</f>
        <v xml:space="preserve">Their receptive level </v>
      </c>
      <c r="D353" s="188"/>
      <c r="E353" s="188"/>
      <c r="F353" s="189"/>
      <c r="G353" s="190"/>
      <c r="H353" s="191"/>
      <c r="I353" s="192"/>
      <c r="J353" s="193" t="str">
        <f>IF(C127="","Their responsiveness ",CONCATENATE(C127,"'s responsiveness "))</f>
        <v xml:space="preserve">Their responsiveness </v>
      </c>
      <c r="K353" s="194"/>
      <c r="L353" s="195"/>
      <c r="M353" s="51"/>
      <c r="N353" s="20"/>
    </row>
    <row r="354" spans="1:14" ht="20" customHeight="1" x14ac:dyDescent="0.3">
      <c r="A354" s="21"/>
      <c r="B354" s="36"/>
      <c r="C354" s="22"/>
      <c r="D354" s="22"/>
      <c r="E354" s="22"/>
      <c r="F354" s="22"/>
      <c r="G354" s="22"/>
      <c r="H354" s="22"/>
      <c r="I354" s="22"/>
      <c r="J354" s="22"/>
      <c r="K354" s="22"/>
      <c r="L354" s="22"/>
      <c r="M354" s="22"/>
      <c r="N354" s="20"/>
    </row>
    <row r="355" spans="1:14" ht="25" customHeight="1" x14ac:dyDescent="0.3">
      <c r="A355" s="21"/>
      <c r="B355" s="41" t="str">
        <f>IF(C127="","D.  Interest in my potential wellness campaign",CONCATENATE("D.  ",C127,"'s interest in my potential wellness campaign"))</f>
        <v>D.  Interest in my potential wellness campaign</v>
      </c>
      <c r="C355" s="39"/>
      <c r="D355" s="39"/>
      <c r="E355" s="39"/>
      <c r="F355" s="39"/>
      <c r="G355" s="39"/>
      <c r="H355" s="39"/>
      <c r="I355" s="39"/>
      <c r="J355" s="39"/>
      <c r="K355" s="39"/>
      <c r="L355" s="39"/>
      <c r="M355" s="49" t="str">
        <f>IF(OR(C358="",I358="",L358=""),"",L127)</f>
        <v/>
      </c>
      <c r="N355" s="20"/>
    </row>
    <row r="356" spans="1:14" ht="20" customHeight="1" x14ac:dyDescent="0.3">
      <c r="A356" s="21"/>
      <c r="B356" s="36"/>
      <c r="C356" s="39"/>
      <c r="D356" s="39"/>
      <c r="E356" s="50" t="s">
        <v>96</v>
      </c>
      <c r="F356" s="196" t="str">
        <f>IF(OR(F332=0,F332=""),"",F332)</f>
        <v/>
      </c>
      <c r="G356" s="197"/>
      <c r="H356" s="197"/>
      <c r="I356" s="197"/>
      <c r="J356" s="197"/>
      <c r="K356" s="197"/>
      <c r="L356" s="197"/>
      <c r="M356" s="198"/>
      <c r="N356" s="20"/>
    </row>
    <row r="357" spans="1:14" ht="20" customHeight="1" x14ac:dyDescent="0.3">
      <c r="A357" s="21"/>
      <c r="B357" s="36"/>
      <c r="C357" s="24" t="s">
        <v>22</v>
      </c>
      <c r="D357" s="24"/>
      <c r="E357" s="42" t="s">
        <v>25</v>
      </c>
      <c r="F357" s="34" t="s">
        <v>24</v>
      </c>
      <c r="G357" s="34"/>
      <c r="H357" s="34" t="s">
        <v>30</v>
      </c>
      <c r="I357" s="24" t="s">
        <v>23</v>
      </c>
      <c r="J357" s="24"/>
      <c r="K357" s="24"/>
      <c r="L357" s="199" t="s">
        <v>29</v>
      </c>
      <c r="M357" s="199"/>
      <c r="N357" s="20"/>
    </row>
    <row r="358" spans="1:14" ht="20" customHeight="1" x14ac:dyDescent="0.3">
      <c r="A358" s="21"/>
      <c r="B358" s="36"/>
      <c r="C358" s="200"/>
      <c r="D358" s="201"/>
      <c r="E358" s="33"/>
      <c r="F358" s="200"/>
      <c r="G358" s="202"/>
      <c r="H358" s="33"/>
      <c r="I358" s="200"/>
      <c r="J358" s="201"/>
      <c r="K358" s="43"/>
      <c r="L358" s="203"/>
      <c r="M358" s="204"/>
      <c r="N358" s="20"/>
    </row>
    <row r="359" spans="1:14" ht="20" customHeight="1" x14ac:dyDescent="0.3">
      <c r="A359" s="21"/>
      <c r="B359" s="36"/>
      <c r="C359" s="39"/>
      <c r="D359" s="39"/>
      <c r="E359" s="39"/>
      <c r="F359" s="39"/>
      <c r="G359" s="39"/>
      <c r="H359" s="179" t="str">
        <f>AI1085</f>
        <v/>
      </c>
      <c r="I359" s="179"/>
      <c r="J359" s="179"/>
      <c r="K359" s="179"/>
      <c r="L359" s="179"/>
      <c r="M359" s="179" t="str">
        <f>IF(C338="","","your progress with THIS INVITEE")</f>
        <v/>
      </c>
      <c r="N359" s="20"/>
    </row>
    <row r="360" spans="1:14" ht="30" customHeight="1" x14ac:dyDescent="0.3">
      <c r="A360" s="47"/>
      <c r="B360" s="123">
        <v>10</v>
      </c>
      <c r="C360" s="182" t="str">
        <f>IF(C128="","Invitee 10",CONCATENATE(C128," ",F128))</f>
        <v>Invitee 10</v>
      </c>
      <c r="D360" s="182"/>
      <c r="E360" s="182"/>
      <c r="F360" s="182"/>
      <c r="G360" s="182"/>
      <c r="H360" s="182"/>
      <c r="I360" s="182"/>
      <c r="J360" s="182"/>
      <c r="K360" s="182"/>
      <c r="L360" s="206">
        <f>M128</f>
        <v>0</v>
      </c>
      <c r="M360" s="206"/>
      <c r="N360" s="48"/>
    </row>
    <row r="361" spans="1:14" ht="20" customHeight="1" x14ac:dyDescent="0.3">
      <c r="A361" s="21"/>
      <c r="B361" s="24"/>
      <c r="C361" s="56" t="s">
        <v>104</v>
      </c>
      <c r="D361" s="56"/>
      <c r="E361" s="57"/>
      <c r="F361" s="83" t="s">
        <v>105</v>
      </c>
      <c r="G361" s="56"/>
      <c r="H361" s="56"/>
      <c r="I361" s="83" t="s">
        <v>106</v>
      </c>
      <c r="J361" s="83"/>
      <c r="K361" s="83"/>
      <c r="L361" s="56" t="s">
        <v>107</v>
      </c>
      <c r="M361" s="56"/>
      <c r="N361" s="20"/>
    </row>
    <row r="362" spans="1:14" ht="20" customHeight="1" x14ac:dyDescent="0.3">
      <c r="A362" s="21"/>
      <c r="B362" s="24"/>
      <c r="C362" s="218"/>
      <c r="D362" s="219"/>
      <c r="E362" s="220"/>
      <c r="F362" s="221"/>
      <c r="G362" s="222"/>
      <c r="H362" s="223"/>
      <c r="I362" s="224"/>
      <c r="J362" s="225"/>
      <c r="K362" s="225"/>
      <c r="L362" s="218"/>
      <c r="M362" s="220"/>
      <c r="N362" s="20"/>
    </row>
    <row r="363" spans="1:14" ht="20" customHeight="1" x14ac:dyDescent="0.3">
      <c r="A363" s="21"/>
      <c r="B363" s="41" t="str">
        <f>IF(C128="","A.  Inviting contact to express their need",CONCATENATE("A.  Inviting ",C128," to express their need"))</f>
        <v>A.  Inviting contact to express their need</v>
      </c>
      <c r="C363" s="36"/>
      <c r="D363" s="36"/>
      <c r="E363" s="36"/>
      <c r="F363" s="36"/>
      <c r="G363" s="36"/>
      <c r="H363" s="36"/>
      <c r="I363" s="40"/>
      <c r="J363" s="36"/>
      <c r="K363" s="36"/>
      <c r="L363" s="36"/>
      <c r="M363" s="46" t="str">
        <f>IF(OR(L365="",K367=""),"",I128)</f>
        <v/>
      </c>
      <c r="N363" s="20"/>
    </row>
    <row r="364" spans="1:14" ht="20" customHeight="1" x14ac:dyDescent="0.3">
      <c r="A364" s="21"/>
      <c r="B364" s="41"/>
      <c r="C364" s="24" t="s">
        <v>22</v>
      </c>
      <c r="D364" s="24"/>
      <c r="E364" s="42" t="s">
        <v>25</v>
      </c>
      <c r="F364" s="34" t="s">
        <v>24</v>
      </c>
      <c r="G364" s="34"/>
      <c r="H364" s="34" t="s">
        <v>30</v>
      </c>
      <c r="I364" s="24" t="s">
        <v>23</v>
      </c>
      <c r="J364" s="24"/>
      <c r="K364" s="24"/>
      <c r="L364" s="231" t="s">
        <v>29</v>
      </c>
      <c r="M364" s="231"/>
      <c r="N364" s="20"/>
    </row>
    <row r="365" spans="1:14" ht="20" customHeight="1" x14ac:dyDescent="0.3">
      <c r="A365" s="21"/>
      <c r="B365" s="23"/>
      <c r="C365" s="200"/>
      <c r="D365" s="201"/>
      <c r="E365" s="33"/>
      <c r="F365" s="200"/>
      <c r="G365" s="201"/>
      <c r="H365" s="33"/>
      <c r="I365" s="200"/>
      <c r="J365" s="201"/>
      <c r="K365" s="43"/>
      <c r="L365" s="203"/>
      <c r="M365" s="204"/>
      <c r="N365" s="20"/>
    </row>
    <row r="366" spans="1:14" ht="60" customHeight="1" x14ac:dyDescent="0.3">
      <c r="A366" s="21"/>
      <c r="B366" s="36"/>
      <c r="C366" s="207" t="str">
        <f>IF(C128="", "Their expressed need:",CONCATENATE(C128,"'s expressed need:"))</f>
        <v>Their expressed need:</v>
      </c>
      <c r="D366" s="208"/>
      <c r="E366" s="209"/>
      <c r="F366" s="210"/>
      <c r="G366" s="210"/>
      <c r="H366" s="210"/>
      <c r="I366" s="210"/>
      <c r="J366" s="210"/>
      <c r="K366" s="210"/>
      <c r="L366" s="210"/>
      <c r="M366" s="211"/>
      <c r="N366" s="20"/>
    </row>
    <row r="367" spans="1:14" ht="20" customHeight="1" x14ac:dyDescent="0.3">
      <c r="A367" s="21"/>
      <c r="B367" s="36"/>
      <c r="C367" s="25"/>
      <c r="D367" s="45" t="s">
        <v>73</v>
      </c>
      <c r="E367" s="212"/>
      <c r="F367" s="213"/>
      <c r="G367" s="213"/>
      <c r="H367" s="214"/>
      <c r="I367" s="25"/>
      <c r="J367" s="44" t="s">
        <v>72</v>
      </c>
      <c r="K367" s="212"/>
      <c r="L367" s="213"/>
      <c r="M367" s="214"/>
      <c r="N367" s="20"/>
    </row>
    <row r="368" spans="1:14" ht="25" customHeight="1" x14ac:dyDescent="0.3">
      <c r="A368" s="21"/>
      <c r="B368" s="41" t="str">
        <f>IF(C128="","B.  Honoring invitee's expressed need",CONCATENATE("B.  Honoring ",C128,"'s expressed need"))</f>
        <v>B.  Honoring invitee's expressed need</v>
      </c>
      <c r="C368" s="36"/>
      <c r="D368" s="36"/>
      <c r="E368" s="36"/>
      <c r="F368" s="36"/>
      <c r="G368" s="36"/>
      <c r="H368" s="36"/>
      <c r="I368" s="40"/>
      <c r="J368" s="36"/>
      <c r="K368" s="36"/>
      <c r="L368" s="36"/>
      <c r="M368" s="46" t="str">
        <f>IF(G371="","",J128)</f>
        <v/>
      </c>
      <c r="N368" s="20"/>
    </row>
    <row r="369" spans="1:14" ht="45" customHeight="1" x14ac:dyDescent="0.3">
      <c r="A369" s="21"/>
      <c r="B369" s="36"/>
      <c r="C369" s="215" t="str">
        <f>IF(C128="","Honoring invitee's expressed need",CONCATENATE("Honoring ",C128,"'s expressed need"))</f>
        <v>Honoring invitee's expressed need</v>
      </c>
      <c r="D369" s="215"/>
      <c r="E369" s="216"/>
      <c r="F369" s="185"/>
      <c r="G369" s="186"/>
      <c r="H369" s="186"/>
      <c r="I369" s="186"/>
      <c r="J369" s="186"/>
      <c r="K369" s="186"/>
      <c r="L369" s="186"/>
      <c r="M369" s="187"/>
      <c r="N369" s="20"/>
    </row>
    <row r="370" spans="1:14" ht="45" customHeight="1" x14ac:dyDescent="0.3">
      <c r="A370" s="21"/>
      <c r="B370" s="36"/>
      <c r="C370" s="226" t="str">
        <f>IF(C128="","Invitee's feedback to my efforts",CONCATENATE(C128,"'s feedback to my efforts"))</f>
        <v>Invitee's feedback to my efforts</v>
      </c>
      <c r="D370" s="226"/>
      <c r="E370" s="227"/>
      <c r="F370" s="185"/>
      <c r="G370" s="186"/>
      <c r="H370" s="186"/>
      <c r="I370" s="186"/>
      <c r="J370" s="186"/>
      <c r="K370" s="186"/>
      <c r="L370" s="186"/>
      <c r="M370" s="187"/>
      <c r="N370" s="20"/>
    </row>
    <row r="371" spans="1:14" ht="20" customHeight="1" x14ac:dyDescent="0.3">
      <c r="A371" s="21"/>
      <c r="B371" s="36"/>
      <c r="C371" s="188" t="str">
        <f>IF(C128="","Their satisfaction level ",CONCATENATE(C128,"'s satisfaction level "))</f>
        <v xml:space="preserve">Their satisfaction level </v>
      </c>
      <c r="D371" s="188"/>
      <c r="E371" s="188"/>
      <c r="F371" s="189"/>
      <c r="G371" s="190"/>
      <c r="H371" s="191"/>
      <c r="I371" s="192"/>
      <c r="J371" s="228" t="str">
        <f>IF(C128="","Their emotional response ",CONCATENATE(C128,"'s emotional response "))</f>
        <v xml:space="preserve">Their emotional response </v>
      </c>
      <c r="K371" s="229"/>
      <c r="L371" s="230"/>
      <c r="M371" s="43"/>
      <c r="N371" s="20"/>
    </row>
    <row r="372" spans="1:14" ht="20" customHeight="1" x14ac:dyDescent="0.3">
      <c r="A372" s="21"/>
      <c r="B372" s="36"/>
      <c r="C372" s="39"/>
      <c r="D372" s="39"/>
      <c r="E372" s="39"/>
      <c r="F372" s="39"/>
      <c r="G372" s="39"/>
      <c r="H372" s="39"/>
      <c r="I372" s="39"/>
      <c r="J372" s="39"/>
      <c r="K372" s="39"/>
      <c r="L372" s="39"/>
      <c r="M372" s="39"/>
      <c r="N372" s="20"/>
    </row>
    <row r="373" spans="1:14" ht="25" customHeight="1" x14ac:dyDescent="0.3">
      <c r="A373" s="21"/>
      <c r="B373" s="41" t="str">
        <f>IF(C128="","C.  My expressed need to ask this invitee",CONCATENATE("C.  My expressed need to ask ",C128))</f>
        <v>C.  My expressed need to ask this invitee</v>
      </c>
      <c r="C373" s="38"/>
      <c r="D373" s="38"/>
      <c r="E373" s="38"/>
      <c r="F373" s="37"/>
      <c r="G373" s="37"/>
      <c r="H373" s="37"/>
      <c r="I373" s="37"/>
      <c r="J373" s="37"/>
      <c r="K373" s="37"/>
      <c r="L373" s="37"/>
      <c r="M373" s="49" t="str">
        <f>IF(OR(G377="",M377=""),"",K128)</f>
        <v/>
      </c>
      <c r="N373" s="20"/>
    </row>
    <row r="374" spans="1:14" ht="45" customHeight="1" x14ac:dyDescent="0.3">
      <c r="A374" s="21"/>
      <c r="B374" s="52" t="s">
        <v>87</v>
      </c>
      <c r="C374" s="183" t="str">
        <f>IF(C128="","Affirming this invitee",CONCATENATE("Affirming ",C128))</f>
        <v>Affirming this invitee</v>
      </c>
      <c r="D374" s="183"/>
      <c r="E374" s="184"/>
      <c r="F374" s="185" t="s">
        <v>89</v>
      </c>
      <c r="G374" s="186"/>
      <c r="H374" s="186"/>
      <c r="I374" s="186"/>
      <c r="J374" s="186"/>
      <c r="K374" s="186"/>
      <c r="L374" s="186"/>
      <c r="M374" s="187"/>
      <c r="N374" s="20"/>
    </row>
    <row r="375" spans="1:14" ht="45" customHeight="1" x14ac:dyDescent="0.3">
      <c r="A375" s="21"/>
      <c r="B375" s="53" t="s">
        <v>88</v>
      </c>
      <c r="C375" s="183" t="str">
        <f>IF(C128="","My need this invitee could respect",CONCATENATE("My need ",C128," could respect"))</f>
        <v>My need this invitee could respect</v>
      </c>
      <c r="D375" s="183"/>
      <c r="E375" s="184"/>
      <c r="F375" s="185" t="s">
        <v>155</v>
      </c>
      <c r="G375" s="186"/>
      <c r="H375" s="186"/>
      <c r="I375" s="186"/>
      <c r="J375" s="186"/>
      <c r="K375" s="186"/>
      <c r="L375" s="186"/>
      <c r="M375" s="187"/>
      <c r="N375" s="20"/>
    </row>
    <row r="376" spans="1:14" ht="45" customHeight="1" x14ac:dyDescent="0.3">
      <c r="A376" s="21"/>
      <c r="B376" s="52" t="s">
        <v>87</v>
      </c>
      <c r="C376" s="183" t="str">
        <f>IF(C128="","Mutuality with this invitee",CONCATENATE("Mutuality with ",C128))</f>
        <v>Mutuality with this invitee</v>
      </c>
      <c r="D376" s="183"/>
      <c r="E376" s="184"/>
      <c r="F376" s="185" t="s">
        <v>90</v>
      </c>
      <c r="G376" s="186"/>
      <c r="H376" s="186"/>
      <c r="I376" s="186"/>
      <c r="J376" s="186"/>
      <c r="K376" s="186"/>
      <c r="L376" s="186"/>
      <c r="M376" s="187"/>
      <c r="N376" s="20"/>
    </row>
    <row r="377" spans="1:14" ht="20" customHeight="1" x14ac:dyDescent="0.3">
      <c r="A377" s="21"/>
      <c r="B377" s="36"/>
      <c r="C377" s="188" t="str">
        <f>IF(C128="","Their receptive level ",CONCATENATE(C128,"'s receptive level "))</f>
        <v xml:space="preserve">Their receptive level </v>
      </c>
      <c r="D377" s="188"/>
      <c r="E377" s="188"/>
      <c r="F377" s="189"/>
      <c r="G377" s="190"/>
      <c r="H377" s="191"/>
      <c r="I377" s="192"/>
      <c r="J377" s="193" t="str">
        <f>IF(C128="","Their responsiveness ",CONCATENATE(C128,"'s responsiveness "))</f>
        <v xml:space="preserve">Their responsiveness </v>
      </c>
      <c r="K377" s="194"/>
      <c r="L377" s="195"/>
      <c r="M377" s="51"/>
      <c r="N377" s="20"/>
    </row>
    <row r="378" spans="1:14" ht="20" customHeight="1" x14ac:dyDescent="0.3">
      <c r="A378" s="21"/>
      <c r="B378" s="36"/>
      <c r="C378" s="22"/>
      <c r="D378" s="22"/>
      <c r="E378" s="22"/>
      <c r="F378" s="22"/>
      <c r="G378" s="22"/>
      <c r="H378" s="22"/>
      <c r="I378" s="22"/>
      <c r="J378" s="22"/>
      <c r="K378" s="22"/>
      <c r="L378" s="22"/>
      <c r="M378" s="22"/>
      <c r="N378" s="20"/>
    </row>
    <row r="379" spans="1:14" ht="25" customHeight="1" x14ac:dyDescent="0.3">
      <c r="A379" s="21"/>
      <c r="B379" s="41" t="str">
        <f>IF(C128="","D.  Interest in my potential wellness campaign",CONCATENATE("D.  ",C128,"'s interest in my potential wellness campaign"))</f>
        <v>D.  Interest in my potential wellness campaign</v>
      </c>
      <c r="C379" s="39"/>
      <c r="D379" s="39"/>
      <c r="E379" s="39"/>
      <c r="F379" s="39"/>
      <c r="G379" s="39"/>
      <c r="H379" s="39"/>
      <c r="I379" s="39"/>
      <c r="J379" s="39"/>
      <c r="K379" s="39"/>
      <c r="L379" s="39"/>
      <c r="M379" s="49" t="str">
        <f>IF(OR(C382="",I382="",L382=""),"",L128)</f>
        <v/>
      </c>
      <c r="N379" s="20"/>
    </row>
    <row r="380" spans="1:14" ht="20" customHeight="1" x14ac:dyDescent="0.3">
      <c r="A380" s="21"/>
      <c r="B380" s="36"/>
      <c r="C380" s="39"/>
      <c r="D380" s="39"/>
      <c r="E380" s="50" t="s">
        <v>96</v>
      </c>
      <c r="F380" s="196" t="str">
        <f>IF(F356="","",F356)</f>
        <v/>
      </c>
      <c r="G380" s="197"/>
      <c r="H380" s="197"/>
      <c r="I380" s="197"/>
      <c r="J380" s="197"/>
      <c r="K380" s="197"/>
      <c r="L380" s="197"/>
      <c r="M380" s="198"/>
      <c r="N380" s="20"/>
    </row>
    <row r="381" spans="1:14" ht="20" customHeight="1" x14ac:dyDescent="0.3">
      <c r="A381" s="21"/>
      <c r="B381" s="36"/>
      <c r="C381" s="24" t="s">
        <v>22</v>
      </c>
      <c r="D381" s="24"/>
      <c r="E381" s="42" t="s">
        <v>25</v>
      </c>
      <c r="F381" s="34" t="s">
        <v>24</v>
      </c>
      <c r="G381" s="34"/>
      <c r="H381" s="34" t="s">
        <v>30</v>
      </c>
      <c r="I381" s="24" t="s">
        <v>23</v>
      </c>
      <c r="J381" s="24"/>
      <c r="K381" s="24"/>
      <c r="L381" s="199" t="s">
        <v>29</v>
      </c>
      <c r="M381" s="199"/>
      <c r="N381" s="20"/>
    </row>
    <row r="382" spans="1:14" ht="20" customHeight="1" x14ac:dyDescent="0.3">
      <c r="A382" s="21"/>
      <c r="B382" s="36"/>
      <c r="C382" s="200"/>
      <c r="D382" s="201"/>
      <c r="E382" s="33"/>
      <c r="F382" s="200"/>
      <c r="G382" s="202"/>
      <c r="H382" s="33"/>
      <c r="I382" s="200"/>
      <c r="J382" s="201"/>
      <c r="K382" s="43"/>
      <c r="L382" s="203"/>
      <c r="M382" s="204"/>
      <c r="N382" s="20"/>
    </row>
    <row r="383" spans="1:14" ht="20" customHeight="1" x14ac:dyDescent="0.3">
      <c r="A383" s="21"/>
      <c r="B383" s="36"/>
      <c r="C383" s="39"/>
      <c r="D383" s="39"/>
      <c r="E383" s="39"/>
      <c r="F383" s="39"/>
      <c r="G383" s="39"/>
      <c r="H383" s="179" t="str">
        <f>AI1086</f>
        <v/>
      </c>
      <c r="I383" s="179"/>
      <c r="J383" s="179"/>
      <c r="K383" s="179"/>
      <c r="L383" s="179"/>
      <c r="M383" s="179" t="str">
        <f>IF(C362="","","your progress with THIS INVITEE")</f>
        <v/>
      </c>
      <c r="N383" s="20"/>
    </row>
    <row r="384" spans="1:14" ht="30" customHeight="1" x14ac:dyDescent="0.3">
      <c r="A384" s="47"/>
      <c r="B384" s="123">
        <v>11</v>
      </c>
      <c r="C384" s="182" t="str">
        <f>IF(C129="","Invitee 11",CONCATENATE(C129," ",F129))</f>
        <v>Invitee 11</v>
      </c>
      <c r="D384" s="182"/>
      <c r="E384" s="182"/>
      <c r="F384" s="182"/>
      <c r="G384" s="182"/>
      <c r="H384" s="182"/>
      <c r="I384" s="182"/>
      <c r="J384" s="182"/>
      <c r="K384" s="182"/>
      <c r="L384" s="206">
        <f>M129</f>
        <v>0</v>
      </c>
      <c r="M384" s="206"/>
      <c r="N384" s="48"/>
    </row>
    <row r="385" spans="1:14" ht="20" customHeight="1" x14ac:dyDescent="0.3">
      <c r="A385" s="21"/>
      <c r="B385" s="24"/>
      <c r="C385" s="56" t="s">
        <v>104</v>
      </c>
      <c r="D385" s="56"/>
      <c r="E385" s="57"/>
      <c r="F385" s="83" t="s">
        <v>105</v>
      </c>
      <c r="G385" s="56"/>
      <c r="H385" s="56"/>
      <c r="I385" s="83" t="s">
        <v>106</v>
      </c>
      <c r="J385" s="83"/>
      <c r="K385" s="83"/>
      <c r="L385" s="56" t="s">
        <v>107</v>
      </c>
      <c r="M385" s="56"/>
      <c r="N385" s="20"/>
    </row>
    <row r="386" spans="1:14" ht="20" customHeight="1" x14ac:dyDescent="0.3">
      <c r="A386" s="21"/>
      <c r="B386" s="24"/>
      <c r="C386" s="218"/>
      <c r="D386" s="219"/>
      <c r="E386" s="220"/>
      <c r="F386" s="221"/>
      <c r="G386" s="222"/>
      <c r="H386" s="223"/>
      <c r="I386" s="224"/>
      <c r="J386" s="225"/>
      <c r="K386" s="225"/>
      <c r="L386" s="218"/>
      <c r="M386" s="220"/>
      <c r="N386" s="20"/>
    </row>
    <row r="387" spans="1:14" ht="20" customHeight="1" x14ac:dyDescent="0.3">
      <c r="A387" s="21"/>
      <c r="B387" s="41" t="str">
        <f>IF(C129="","A.  Inviting contact to express their need",CONCATENATE("A.  Inviting ",C129," to express their need"))</f>
        <v>A.  Inviting contact to express their need</v>
      </c>
      <c r="C387" s="36"/>
      <c r="D387" s="36"/>
      <c r="E387" s="36"/>
      <c r="F387" s="36"/>
      <c r="G387" s="36"/>
      <c r="H387" s="36"/>
      <c r="I387" s="40"/>
      <c r="J387" s="36"/>
      <c r="K387" s="36"/>
      <c r="L387" s="36"/>
      <c r="M387" s="46" t="str">
        <f>IF(OR(L389="",K391=""),"",I129)</f>
        <v/>
      </c>
      <c r="N387" s="20"/>
    </row>
    <row r="388" spans="1:14" ht="20" customHeight="1" x14ac:dyDescent="0.3">
      <c r="A388" s="21"/>
      <c r="B388" s="41"/>
      <c r="C388" s="24" t="s">
        <v>22</v>
      </c>
      <c r="D388" s="24"/>
      <c r="E388" s="42" t="s">
        <v>25</v>
      </c>
      <c r="F388" s="34" t="s">
        <v>24</v>
      </c>
      <c r="G388" s="34"/>
      <c r="H388" s="34" t="s">
        <v>30</v>
      </c>
      <c r="I388" s="24" t="s">
        <v>23</v>
      </c>
      <c r="J388" s="24"/>
      <c r="K388" s="24"/>
      <c r="L388" s="231" t="s">
        <v>29</v>
      </c>
      <c r="M388" s="231"/>
      <c r="N388" s="20"/>
    </row>
    <row r="389" spans="1:14" ht="20" customHeight="1" x14ac:dyDescent="0.3">
      <c r="A389" s="21"/>
      <c r="B389" s="23"/>
      <c r="C389" s="200"/>
      <c r="D389" s="201"/>
      <c r="E389" s="33"/>
      <c r="F389" s="200"/>
      <c r="G389" s="201"/>
      <c r="H389" s="33"/>
      <c r="I389" s="200"/>
      <c r="J389" s="201"/>
      <c r="K389" s="43"/>
      <c r="L389" s="203"/>
      <c r="M389" s="204"/>
      <c r="N389" s="20"/>
    </row>
    <row r="390" spans="1:14" ht="60" customHeight="1" x14ac:dyDescent="0.3">
      <c r="A390" s="21"/>
      <c r="B390" s="36"/>
      <c r="C390" s="207" t="str">
        <f>IF(C129="", "Their expressed need:",CONCATENATE(C129,"'s expressed need:"))</f>
        <v>Their expressed need:</v>
      </c>
      <c r="D390" s="208"/>
      <c r="E390" s="209"/>
      <c r="F390" s="210"/>
      <c r="G390" s="210"/>
      <c r="H390" s="210"/>
      <c r="I390" s="210"/>
      <c r="J390" s="210"/>
      <c r="K390" s="210"/>
      <c r="L390" s="210"/>
      <c r="M390" s="211"/>
      <c r="N390" s="20"/>
    </row>
    <row r="391" spans="1:14" ht="20" customHeight="1" x14ac:dyDescent="0.3">
      <c r="A391" s="21"/>
      <c r="B391" s="36"/>
      <c r="C391" s="25"/>
      <c r="D391" s="45" t="s">
        <v>73</v>
      </c>
      <c r="E391" s="212"/>
      <c r="F391" s="213"/>
      <c r="G391" s="213"/>
      <c r="H391" s="214"/>
      <c r="I391" s="25"/>
      <c r="J391" s="44" t="s">
        <v>72</v>
      </c>
      <c r="K391" s="212"/>
      <c r="L391" s="213"/>
      <c r="M391" s="214"/>
      <c r="N391" s="20"/>
    </row>
    <row r="392" spans="1:14" ht="25" customHeight="1" x14ac:dyDescent="0.3">
      <c r="A392" s="21"/>
      <c r="B392" s="41" t="str">
        <f>IF(C129="","B.  Honoring invitee's expressed need",CONCATENATE("B.  Honoring ",C129,"'s expressed need"))</f>
        <v>B.  Honoring invitee's expressed need</v>
      </c>
      <c r="C392" s="36"/>
      <c r="D392" s="36"/>
      <c r="E392" s="36"/>
      <c r="F392" s="36"/>
      <c r="G392" s="36"/>
      <c r="H392" s="36"/>
      <c r="I392" s="40"/>
      <c r="J392" s="36"/>
      <c r="K392" s="36"/>
      <c r="L392" s="36"/>
      <c r="M392" s="46" t="str">
        <f>IF(G395="","",J129)</f>
        <v/>
      </c>
      <c r="N392" s="20"/>
    </row>
    <row r="393" spans="1:14" ht="45" customHeight="1" x14ac:dyDescent="0.3">
      <c r="A393" s="21"/>
      <c r="B393" s="36"/>
      <c r="C393" s="215" t="str">
        <f>IF(C129="","Honoring invitee's expressed need",CONCATENATE("Honoring ",C129,"'s expressed need"))</f>
        <v>Honoring invitee's expressed need</v>
      </c>
      <c r="D393" s="215"/>
      <c r="E393" s="216"/>
      <c r="F393" s="185"/>
      <c r="G393" s="186"/>
      <c r="H393" s="186"/>
      <c r="I393" s="186"/>
      <c r="J393" s="186"/>
      <c r="K393" s="186"/>
      <c r="L393" s="186"/>
      <c r="M393" s="187"/>
      <c r="N393" s="20"/>
    </row>
    <row r="394" spans="1:14" ht="45" customHeight="1" x14ac:dyDescent="0.3">
      <c r="A394" s="21"/>
      <c r="B394" s="36"/>
      <c r="C394" s="226" t="str">
        <f>IF(C129="","Invitee's feedback to my efforts",CONCATENATE(C129,"'s feedback to my efforts"))</f>
        <v>Invitee's feedback to my efforts</v>
      </c>
      <c r="D394" s="226"/>
      <c r="E394" s="227"/>
      <c r="F394" s="185"/>
      <c r="G394" s="186"/>
      <c r="H394" s="186"/>
      <c r="I394" s="186"/>
      <c r="J394" s="186"/>
      <c r="K394" s="186"/>
      <c r="L394" s="186"/>
      <c r="M394" s="187"/>
      <c r="N394" s="20"/>
    </row>
    <row r="395" spans="1:14" ht="20" customHeight="1" x14ac:dyDescent="0.3">
      <c r="A395" s="21"/>
      <c r="B395" s="36"/>
      <c r="C395" s="188" t="str">
        <f>IF(C129="","Their satisfaction level ",CONCATENATE(C129,"'s satisfaction level "))</f>
        <v xml:space="preserve">Their satisfaction level </v>
      </c>
      <c r="D395" s="188"/>
      <c r="E395" s="188"/>
      <c r="F395" s="189"/>
      <c r="G395" s="190"/>
      <c r="H395" s="191"/>
      <c r="I395" s="192"/>
      <c r="J395" s="228" t="str">
        <f>IF(C129="","Their emotional response ",CONCATENATE(C129,"'s emotional response "))</f>
        <v xml:space="preserve">Their emotional response </v>
      </c>
      <c r="K395" s="229"/>
      <c r="L395" s="230"/>
      <c r="M395" s="43"/>
      <c r="N395" s="20"/>
    </row>
    <row r="396" spans="1:14" ht="20" customHeight="1" x14ac:dyDescent="0.3">
      <c r="A396" s="21"/>
      <c r="B396" s="36"/>
      <c r="C396" s="39"/>
      <c r="D396" s="39"/>
      <c r="E396" s="39"/>
      <c r="F396" s="39"/>
      <c r="G396" s="39"/>
      <c r="H396" s="39"/>
      <c r="I396" s="39"/>
      <c r="J396" s="39"/>
      <c r="K396" s="39"/>
      <c r="L396" s="39"/>
      <c r="M396" s="39"/>
      <c r="N396" s="20"/>
    </row>
    <row r="397" spans="1:14" ht="25" customHeight="1" x14ac:dyDescent="0.3">
      <c r="A397" s="21"/>
      <c r="B397" s="41" t="str">
        <f>IF(C129="","C.  My expressed need to ask this invitee",CONCATENATE("C.  My expressed need to ask ",C129))</f>
        <v>C.  My expressed need to ask this invitee</v>
      </c>
      <c r="C397" s="38"/>
      <c r="D397" s="38"/>
      <c r="E397" s="38"/>
      <c r="F397" s="37"/>
      <c r="G397" s="37"/>
      <c r="H397" s="37"/>
      <c r="I397" s="37"/>
      <c r="J397" s="37"/>
      <c r="K397" s="37"/>
      <c r="L397" s="37"/>
      <c r="M397" s="49" t="str">
        <f>IF(OR(G401="",M401=""),"",K129)</f>
        <v/>
      </c>
      <c r="N397" s="20"/>
    </row>
    <row r="398" spans="1:14" ht="45" customHeight="1" x14ac:dyDescent="0.3">
      <c r="A398" s="21"/>
      <c r="B398" s="52" t="s">
        <v>87</v>
      </c>
      <c r="C398" s="183" t="str">
        <f>IF(C129="","Affirming this invitee",CONCATENATE("Affirming ",C129))</f>
        <v>Affirming this invitee</v>
      </c>
      <c r="D398" s="183"/>
      <c r="E398" s="184"/>
      <c r="F398" s="185" t="s">
        <v>89</v>
      </c>
      <c r="G398" s="186"/>
      <c r="H398" s="186"/>
      <c r="I398" s="186"/>
      <c r="J398" s="186"/>
      <c r="K398" s="186"/>
      <c r="L398" s="186"/>
      <c r="M398" s="187"/>
      <c r="N398" s="20"/>
    </row>
    <row r="399" spans="1:14" ht="45" customHeight="1" x14ac:dyDescent="0.3">
      <c r="A399" s="21"/>
      <c r="B399" s="53" t="s">
        <v>88</v>
      </c>
      <c r="C399" s="183" t="str">
        <f>IF(C129="","My need this invitee could respect",CONCATENATE("My need ",C129," could respect"))</f>
        <v>My need this invitee could respect</v>
      </c>
      <c r="D399" s="183"/>
      <c r="E399" s="184"/>
      <c r="F399" s="185" t="s">
        <v>155</v>
      </c>
      <c r="G399" s="186"/>
      <c r="H399" s="186"/>
      <c r="I399" s="186"/>
      <c r="J399" s="186"/>
      <c r="K399" s="186"/>
      <c r="L399" s="186"/>
      <c r="M399" s="187"/>
      <c r="N399" s="20"/>
    </row>
    <row r="400" spans="1:14" ht="45" customHeight="1" x14ac:dyDescent="0.3">
      <c r="A400" s="21"/>
      <c r="B400" s="52" t="s">
        <v>87</v>
      </c>
      <c r="C400" s="183" t="str">
        <f>IF(C129="","Mutuality with this invitee",CONCATENATE("Mutuality with ",C129))</f>
        <v>Mutuality with this invitee</v>
      </c>
      <c r="D400" s="183"/>
      <c r="E400" s="184"/>
      <c r="F400" s="185" t="s">
        <v>90</v>
      </c>
      <c r="G400" s="186"/>
      <c r="H400" s="186"/>
      <c r="I400" s="186"/>
      <c r="J400" s="186"/>
      <c r="K400" s="186"/>
      <c r="L400" s="186"/>
      <c r="M400" s="187"/>
      <c r="N400" s="20"/>
    </row>
    <row r="401" spans="1:14" ht="20" customHeight="1" x14ac:dyDescent="0.3">
      <c r="A401" s="21"/>
      <c r="B401" s="36"/>
      <c r="C401" s="188" t="str">
        <f>IF(C129="","Their receptive level ",CONCATENATE(C129,"'s receptive level "))</f>
        <v xml:space="preserve">Their receptive level </v>
      </c>
      <c r="D401" s="188"/>
      <c r="E401" s="188"/>
      <c r="F401" s="189"/>
      <c r="G401" s="190"/>
      <c r="H401" s="191"/>
      <c r="I401" s="192"/>
      <c r="J401" s="193" t="str">
        <f>IF(C129="","Their responsiveness ",CONCATENATE(C129,"'s responsiveness "))</f>
        <v xml:space="preserve">Their responsiveness </v>
      </c>
      <c r="K401" s="194"/>
      <c r="L401" s="195"/>
      <c r="M401" s="51"/>
      <c r="N401" s="20"/>
    </row>
    <row r="402" spans="1:14" ht="20" customHeight="1" x14ac:dyDescent="0.3">
      <c r="A402" s="21"/>
      <c r="B402" s="36"/>
      <c r="C402" s="22"/>
      <c r="D402" s="22"/>
      <c r="E402" s="22"/>
      <c r="F402" s="22"/>
      <c r="G402" s="22"/>
      <c r="H402" s="22"/>
      <c r="I402" s="22"/>
      <c r="J402" s="22"/>
      <c r="K402" s="22"/>
      <c r="L402" s="22"/>
      <c r="M402" s="22"/>
      <c r="N402" s="20"/>
    </row>
    <row r="403" spans="1:14" ht="25" customHeight="1" x14ac:dyDescent="0.3">
      <c r="A403" s="21"/>
      <c r="B403" s="41" t="str">
        <f>IF(C129="","D.  Interest in my potential wellness campaign",CONCATENATE("D.  ",C129,"'s interest in my potential wellness campaign"))</f>
        <v>D.  Interest in my potential wellness campaign</v>
      </c>
      <c r="C403" s="39"/>
      <c r="D403" s="39"/>
      <c r="E403" s="39"/>
      <c r="F403" s="39"/>
      <c r="G403" s="39"/>
      <c r="H403" s="39"/>
      <c r="I403" s="39"/>
      <c r="J403" s="39"/>
      <c r="K403" s="39"/>
      <c r="L403" s="39"/>
      <c r="M403" s="49" t="str">
        <f>IF(OR(C406="",I406="",L406=""),"",L129)</f>
        <v/>
      </c>
      <c r="N403" s="20"/>
    </row>
    <row r="404" spans="1:14" ht="20" customHeight="1" x14ac:dyDescent="0.3">
      <c r="A404" s="21"/>
      <c r="B404" s="36"/>
      <c r="C404" s="39"/>
      <c r="D404" s="39"/>
      <c r="E404" s="50" t="s">
        <v>96</v>
      </c>
      <c r="F404" s="196" t="str">
        <f>IF(F380="","",F380)</f>
        <v/>
      </c>
      <c r="G404" s="197"/>
      <c r="H404" s="197"/>
      <c r="I404" s="197"/>
      <c r="J404" s="197"/>
      <c r="K404" s="197"/>
      <c r="L404" s="197"/>
      <c r="M404" s="198"/>
      <c r="N404" s="20"/>
    </row>
    <row r="405" spans="1:14" ht="20" customHeight="1" x14ac:dyDescent="0.3">
      <c r="A405" s="21"/>
      <c r="B405" s="36"/>
      <c r="C405" s="24" t="s">
        <v>22</v>
      </c>
      <c r="D405" s="24"/>
      <c r="E405" s="42" t="s">
        <v>25</v>
      </c>
      <c r="F405" s="34" t="s">
        <v>24</v>
      </c>
      <c r="G405" s="34"/>
      <c r="H405" s="34" t="s">
        <v>30</v>
      </c>
      <c r="I405" s="24" t="s">
        <v>23</v>
      </c>
      <c r="J405" s="24"/>
      <c r="K405" s="24"/>
      <c r="L405" s="199" t="s">
        <v>29</v>
      </c>
      <c r="M405" s="199"/>
      <c r="N405" s="20"/>
    </row>
    <row r="406" spans="1:14" ht="20" customHeight="1" x14ac:dyDescent="0.3">
      <c r="A406" s="21"/>
      <c r="B406" s="36"/>
      <c r="C406" s="200"/>
      <c r="D406" s="201"/>
      <c r="E406" s="33"/>
      <c r="F406" s="200"/>
      <c r="G406" s="202"/>
      <c r="H406" s="33"/>
      <c r="I406" s="200"/>
      <c r="J406" s="201"/>
      <c r="K406" s="43"/>
      <c r="L406" s="203"/>
      <c r="M406" s="204"/>
      <c r="N406" s="20"/>
    </row>
    <row r="407" spans="1:14" ht="20" customHeight="1" x14ac:dyDescent="0.3">
      <c r="A407" s="21"/>
      <c r="B407" s="36"/>
      <c r="C407" s="39"/>
      <c r="D407" s="39"/>
      <c r="E407" s="39"/>
      <c r="F407" s="39"/>
      <c r="G407" s="39"/>
      <c r="H407" s="179" t="str">
        <f>AI1087</f>
        <v/>
      </c>
      <c r="I407" s="179"/>
      <c r="J407" s="179"/>
      <c r="K407" s="179"/>
      <c r="L407" s="179"/>
      <c r="M407" s="179" t="str">
        <f>IF(C386="","","your progress with THIS INVITEE")</f>
        <v/>
      </c>
      <c r="N407" s="20"/>
    </row>
    <row r="408" spans="1:14" ht="30" customHeight="1" x14ac:dyDescent="0.3">
      <c r="A408" s="47"/>
      <c r="B408" s="123">
        <v>12</v>
      </c>
      <c r="C408" s="182" t="str">
        <f>IF(C130="","Invitee 12",CONCATENATE(C130," ",F130))</f>
        <v>Invitee 12</v>
      </c>
      <c r="D408" s="182"/>
      <c r="E408" s="182"/>
      <c r="F408" s="182"/>
      <c r="G408" s="182"/>
      <c r="H408" s="182"/>
      <c r="I408" s="182"/>
      <c r="J408" s="182"/>
      <c r="K408" s="182"/>
      <c r="L408" s="206">
        <f>M130</f>
        <v>0</v>
      </c>
      <c r="M408" s="206"/>
      <c r="N408" s="48"/>
    </row>
    <row r="409" spans="1:14" ht="20" customHeight="1" x14ac:dyDescent="0.3">
      <c r="A409" s="21"/>
      <c r="B409" s="24"/>
      <c r="C409" s="56" t="s">
        <v>104</v>
      </c>
      <c r="D409" s="56"/>
      <c r="E409" s="57"/>
      <c r="F409" s="83" t="s">
        <v>105</v>
      </c>
      <c r="G409" s="56"/>
      <c r="H409" s="56"/>
      <c r="I409" s="83" t="s">
        <v>106</v>
      </c>
      <c r="J409" s="83"/>
      <c r="K409" s="83"/>
      <c r="L409" s="56" t="s">
        <v>107</v>
      </c>
      <c r="M409" s="56"/>
      <c r="N409" s="20"/>
    </row>
    <row r="410" spans="1:14" ht="20" customHeight="1" x14ac:dyDescent="0.3">
      <c r="A410" s="21"/>
      <c r="B410" s="24"/>
      <c r="C410" s="218"/>
      <c r="D410" s="219"/>
      <c r="E410" s="220"/>
      <c r="F410" s="221"/>
      <c r="G410" s="222"/>
      <c r="H410" s="223"/>
      <c r="I410" s="224"/>
      <c r="J410" s="225"/>
      <c r="K410" s="225"/>
      <c r="L410" s="218"/>
      <c r="M410" s="220"/>
      <c r="N410" s="20"/>
    </row>
    <row r="411" spans="1:14" ht="20" customHeight="1" x14ac:dyDescent="0.3">
      <c r="A411" s="21"/>
      <c r="B411" s="41" t="str">
        <f>IF(C130="","A.  Inviting contact to express their need",CONCATENATE("A.  Inviting ",C130," to express their need"))</f>
        <v>A.  Inviting contact to express their need</v>
      </c>
      <c r="C411" s="36"/>
      <c r="D411" s="36"/>
      <c r="E411" s="36"/>
      <c r="F411" s="36"/>
      <c r="G411" s="36"/>
      <c r="H411" s="36"/>
      <c r="I411" s="40"/>
      <c r="J411" s="36"/>
      <c r="K411" s="36"/>
      <c r="L411" s="36"/>
      <c r="M411" s="46" t="str">
        <f>IF(OR(L413="",K415=""),"",I130)</f>
        <v/>
      </c>
      <c r="N411" s="20"/>
    </row>
    <row r="412" spans="1:14" ht="20" customHeight="1" x14ac:dyDescent="0.3">
      <c r="A412" s="21"/>
      <c r="B412" s="41"/>
      <c r="C412" s="24" t="s">
        <v>22</v>
      </c>
      <c r="D412" s="24"/>
      <c r="E412" s="42" t="s">
        <v>25</v>
      </c>
      <c r="F412" s="34" t="s">
        <v>24</v>
      </c>
      <c r="G412" s="34"/>
      <c r="H412" s="34" t="s">
        <v>30</v>
      </c>
      <c r="I412" s="24" t="s">
        <v>23</v>
      </c>
      <c r="J412" s="24"/>
      <c r="K412" s="24"/>
      <c r="L412" s="231" t="s">
        <v>29</v>
      </c>
      <c r="M412" s="231"/>
      <c r="N412" s="20"/>
    </row>
    <row r="413" spans="1:14" ht="20" customHeight="1" x14ac:dyDescent="0.3">
      <c r="A413" s="21"/>
      <c r="B413" s="23"/>
      <c r="C413" s="200"/>
      <c r="D413" s="201"/>
      <c r="E413" s="33"/>
      <c r="F413" s="200"/>
      <c r="G413" s="201"/>
      <c r="H413" s="33"/>
      <c r="I413" s="200"/>
      <c r="J413" s="201"/>
      <c r="K413" s="43"/>
      <c r="L413" s="203"/>
      <c r="M413" s="204"/>
      <c r="N413" s="20"/>
    </row>
    <row r="414" spans="1:14" ht="60" customHeight="1" x14ac:dyDescent="0.3">
      <c r="A414" s="21"/>
      <c r="B414" s="36"/>
      <c r="C414" s="207" t="str">
        <f>IF(C130="", "Their expressed need:",CONCATENATE(C130,"'s expressed need:"))</f>
        <v>Their expressed need:</v>
      </c>
      <c r="D414" s="208"/>
      <c r="E414" s="209"/>
      <c r="F414" s="210"/>
      <c r="G414" s="210"/>
      <c r="H414" s="210"/>
      <c r="I414" s="210"/>
      <c r="J414" s="210"/>
      <c r="K414" s="210"/>
      <c r="L414" s="210"/>
      <c r="M414" s="211"/>
      <c r="N414" s="20"/>
    </row>
    <row r="415" spans="1:14" ht="20" customHeight="1" x14ac:dyDescent="0.3">
      <c r="A415" s="21"/>
      <c r="B415" s="36"/>
      <c r="C415" s="25"/>
      <c r="D415" s="45" t="s">
        <v>73</v>
      </c>
      <c r="E415" s="212"/>
      <c r="F415" s="213"/>
      <c r="G415" s="213"/>
      <c r="H415" s="214"/>
      <c r="I415" s="25"/>
      <c r="J415" s="44" t="s">
        <v>72</v>
      </c>
      <c r="K415" s="212"/>
      <c r="L415" s="213"/>
      <c r="M415" s="214"/>
      <c r="N415" s="20"/>
    </row>
    <row r="416" spans="1:14" ht="25" customHeight="1" x14ac:dyDescent="0.3">
      <c r="A416" s="21"/>
      <c r="B416" s="41" t="str">
        <f>IF(C130="","B.  Honoring invitee's expressed need",CONCATENATE("B.  Honoring ",C130,"'s expressed need"))</f>
        <v>B.  Honoring invitee's expressed need</v>
      </c>
      <c r="C416" s="36"/>
      <c r="D416" s="36"/>
      <c r="E416" s="36"/>
      <c r="F416" s="36"/>
      <c r="G416" s="36"/>
      <c r="H416" s="36"/>
      <c r="I416" s="40"/>
      <c r="J416" s="36"/>
      <c r="K416" s="36"/>
      <c r="L416" s="36"/>
      <c r="M416" s="46" t="str">
        <f>IF(G419="","",J130)</f>
        <v/>
      </c>
      <c r="N416" s="20"/>
    </row>
    <row r="417" spans="1:14" ht="45" customHeight="1" x14ac:dyDescent="0.3">
      <c r="A417" s="21"/>
      <c r="B417" s="36"/>
      <c r="C417" s="215" t="str">
        <f>IF(C130="","Honoring invitee's expressed need",CONCATENATE("Honoring ",C130,"'s expressed need"))</f>
        <v>Honoring invitee's expressed need</v>
      </c>
      <c r="D417" s="215"/>
      <c r="E417" s="216"/>
      <c r="F417" s="185"/>
      <c r="G417" s="186"/>
      <c r="H417" s="186"/>
      <c r="I417" s="186"/>
      <c r="J417" s="186"/>
      <c r="K417" s="186"/>
      <c r="L417" s="186"/>
      <c r="M417" s="187"/>
      <c r="N417" s="20"/>
    </row>
    <row r="418" spans="1:14" ht="45" customHeight="1" x14ac:dyDescent="0.3">
      <c r="A418" s="21"/>
      <c r="B418" s="36"/>
      <c r="C418" s="226" t="str">
        <f>IF(C130="","Invitee's feedback to my efforts",CONCATENATE(C130,"'s feedback to my efforts"))</f>
        <v>Invitee's feedback to my efforts</v>
      </c>
      <c r="D418" s="226"/>
      <c r="E418" s="227"/>
      <c r="F418" s="185"/>
      <c r="G418" s="186"/>
      <c r="H418" s="186"/>
      <c r="I418" s="186"/>
      <c r="J418" s="186"/>
      <c r="K418" s="186"/>
      <c r="L418" s="186"/>
      <c r="M418" s="187"/>
      <c r="N418" s="20"/>
    </row>
    <row r="419" spans="1:14" ht="20" customHeight="1" x14ac:dyDescent="0.3">
      <c r="A419" s="21"/>
      <c r="B419" s="36"/>
      <c r="C419" s="188" t="str">
        <f>IF(C130="","Their satisfaction level ",CONCATENATE(C130,"'s satisfaction level "))</f>
        <v xml:space="preserve">Their satisfaction level </v>
      </c>
      <c r="D419" s="188"/>
      <c r="E419" s="188"/>
      <c r="F419" s="189"/>
      <c r="G419" s="190"/>
      <c r="H419" s="191"/>
      <c r="I419" s="192"/>
      <c r="J419" s="228" t="str">
        <f>IF(C130="","Their emotional response ",CONCATENATE(C130,"'s emotional response "))</f>
        <v xml:space="preserve">Their emotional response </v>
      </c>
      <c r="K419" s="229"/>
      <c r="L419" s="230"/>
      <c r="M419" s="43"/>
      <c r="N419" s="20"/>
    </row>
    <row r="420" spans="1:14" ht="20" customHeight="1" x14ac:dyDescent="0.3">
      <c r="A420" s="21"/>
      <c r="B420" s="36"/>
      <c r="C420" s="39"/>
      <c r="D420" s="39"/>
      <c r="E420" s="39"/>
      <c r="F420" s="39"/>
      <c r="G420" s="39"/>
      <c r="H420" s="39"/>
      <c r="I420" s="39"/>
      <c r="J420" s="39"/>
      <c r="K420" s="39"/>
      <c r="L420" s="39"/>
      <c r="M420" s="39"/>
      <c r="N420" s="20"/>
    </row>
    <row r="421" spans="1:14" ht="25" customHeight="1" x14ac:dyDescent="0.3">
      <c r="A421" s="21"/>
      <c r="B421" s="41" t="str">
        <f>IF(C130="","C.  My expressed need to ask this invitee",CONCATENATE("C.  My expressed need to ask ",C130))</f>
        <v>C.  My expressed need to ask this invitee</v>
      </c>
      <c r="C421" s="38"/>
      <c r="D421" s="38"/>
      <c r="E421" s="38"/>
      <c r="F421" s="37"/>
      <c r="G421" s="37"/>
      <c r="H421" s="37"/>
      <c r="I421" s="37"/>
      <c r="J421" s="37"/>
      <c r="K421" s="37"/>
      <c r="L421" s="37"/>
      <c r="M421" s="49" t="str">
        <f>IF(OR(G425="",M425=""),"",K130)</f>
        <v/>
      </c>
      <c r="N421" s="20"/>
    </row>
    <row r="422" spans="1:14" ht="45" customHeight="1" x14ac:dyDescent="0.3">
      <c r="A422" s="21"/>
      <c r="B422" s="52" t="s">
        <v>87</v>
      </c>
      <c r="C422" s="183" t="str">
        <f>IF(C130="","Affirming this invitee",CONCATENATE("Affirming ",C130))</f>
        <v>Affirming this invitee</v>
      </c>
      <c r="D422" s="183"/>
      <c r="E422" s="184"/>
      <c r="F422" s="185" t="s">
        <v>89</v>
      </c>
      <c r="G422" s="186"/>
      <c r="H422" s="186"/>
      <c r="I422" s="186"/>
      <c r="J422" s="186"/>
      <c r="K422" s="186"/>
      <c r="L422" s="186"/>
      <c r="M422" s="187"/>
      <c r="N422" s="20"/>
    </row>
    <row r="423" spans="1:14" ht="45" customHeight="1" x14ac:dyDescent="0.3">
      <c r="A423" s="21"/>
      <c r="B423" s="53" t="s">
        <v>88</v>
      </c>
      <c r="C423" s="183" t="str">
        <f>IF(C130="","My need this invitee could respect",CONCATENATE("My need ",C130," could respect"))</f>
        <v>My need this invitee could respect</v>
      </c>
      <c r="D423" s="183"/>
      <c r="E423" s="184"/>
      <c r="F423" s="185" t="s">
        <v>155</v>
      </c>
      <c r="G423" s="186"/>
      <c r="H423" s="186"/>
      <c r="I423" s="186"/>
      <c r="J423" s="186"/>
      <c r="K423" s="186"/>
      <c r="L423" s="186"/>
      <c r="M423" s="187"/>
      <c r="N423" s="20"/>
    </row>
    <row r="424" spans="1:14" ht="45" customHeight="1" x14ac:dyDescent="0.3">
      <c r="A424" s="21"/>
      <c r="B424" s="52" t="s">
        <v>87</v>
      </c>
      <c r="C424" s="183" t="str">
        <f>IF(C130="","Mutuality with this invitee",CONCATENATE("Mutuality with ",C130))</f>
        <v>Mutuality with this invitee</v>
      </c>
      <c r="D424" s="183"/>
      <c r="E424" s="184"/>
      <c r="F424" s="185" t="s">
        <v>90</v>
      </c>
      <c r="G424" s="186"/>
      <c r="H424" s="186"/>
      <c r="I424" s="186"/>
      <c r="J424" s="186"/>
      <c r="K424" s="186"/>
      <c r="L424" s="186"/>
      <c r="M424" s="187"/>
      <c r="N424" s="20"/>
    </row>
    <row r="425" spans="1:14" ht="20" customHeight="1" x14ac:dyDescent="0.3">
      <c r="A425" s="21"/>
      <c r="B425" s="36"/>
      <c r="C425" s="188" t="str">
        <f>IF(C130="","Their receptive level ",CONCATENATE(C130,"'s receptive level "))</f>
        <v xml:space="preserve">Their receptive level </v>
      </c>
      <c r="D425" s="188"/>
      <c r="E425" s="188"/>
      <c r="F425" s="189"/>
      <c r="G425" s="190"/>
      <c r="H425" s="191"/>
      <c r="I425" s="192"/>
      <c r="J425" s="193" t="str">
        <f>IF(C130="","Their responsiveness ",CONCATENATE(C130,"'s responsiveness "))</f>
        <v xml:space="preserve">Their responsiveness </v>
      </c>
      <c r="K425" s="194"/>
      <c r="L425" s="195"/>
      <c r="M425" s="51"/>
      <c r="N425" s="20"/>
    </row>
    <row r="426" spans="1:14" ht="20" customHeight="1" x14ac:dyDescent="0.3">
      <c r="A426" s="21"/>
      <c r="B426" s="36"/>
      <c r="C426" s="22"/>
      <c r="D426" s="22"/>
      <c r="E426" s="22"/>
      <c r="F426" s="22"/>
      <c r="G426" s="22"/>
      <c r="H426" s="22"/>
      <c r="I426" s="22"/>
      <c r="J426" s="22"/>
      <c r="K426" s="22"/>
      <c r="L426" s="22"/>
      <c r="M426" s="22"/>
      <c r="N426" s="20"/>
    </row>
    <row r="427" spans="1:14" ht="25" customHeight="1" x14ac:dyDescent="0.3">
      <c r="A427" s="21"/>
      <c r="B427" s="41" t="str">
        <f>IF(C130="","D.  Interest in my potential wellness campaign",CONCATENATE("D.  ",C130,"'s interest in my potential wellness campaign"))</f>
        <v>D.  Interest in my potential wellness campaign</v>
      </c>
      <c r="C427" s="39"/>
      <c r="D427" s="39"/>
      <c r="E427" s="39"/>
      <c r="F427" s="39"/>
      <c r="G427" s="39"/>
      <c r="H427" s="39"/>
      <c r="I427" s="39"/>
      <c r="J427" s="39"/>
      <c r="K427" s="39"/>
      <c r="L427" s="39"/>
      <c r="M427" s="49" t="str">
        <f>IF(OR(C430="",I430="",L430=""),"",L130)</f>
        <v/>
      </c>
      <c r="N427" s="20"/>
    </row>
    <row r="428" spans="1:14" ht="20" customHeight="1" x14ac:dyDescent="0.3">
      <c r="A428" s="21"/>
      <c r="B428" s="36"/>
      <c r="C428" s="39"/>
      <c r="D428" s="39"/>
      <c r="E428" s="50" t="s">
        <v>96</v>
      </c>
      <c r="F428" s="196" t="str">
        <f>IF(F404="","",F404)</f>
        <v/>
      </c>
      <c r="G428" s="197"/>
      <c r="H428" s="197"/>
      <c r="I428" s="197"/>
      <c r="J428" s="197"/>
      <c r="K428" s="197"/>
      <c r="L428" s="197"/>
      <c r="M428" s="198"/>
      <c r="N428" s="20"/>
    </row>
    <row r="429" spans="1:14" ht="20" customHeight="1" x14ac:dyDescent="0.3">
      <c r="A429" s="21"/>
      <c r="B429" s="36"/>
      <c r="C429" s="24" t="s">
        <v>22</v>
      </c>
      <c r="D429" s="24"/>
      <c r="E429" s="42" t="s">
        <v>25</v>
      </c>
      <c r="F429" s="34" t="s">
        <v>24</v>
      </c>
      <c r="G429" s="34"/>
      <c r="H429" s="34" t="s">
        <v>30</v>
      </c>
      <c r="I429" s="24" t="s">
        <v>23</v>
      </c>
      <c r="J429" s="24"/>
      <c r="K429" s="24"/>
      <c r="L429" s="199" t="s">
        <v>29</v>
      </c>
      <c r="M429" s="199"/>
      <c r="N429" s="20"/>
    </row>
    <row r="430" spans="1:14" ht="20" customHeight="1" x14ac:dyDescent="0.3">
      <c r="A430" s="21"/>
      <c r="B430" s="36"/>
      <c r="C430" s="200"/>
      <c r="D430" s="201"/>
      <c r="E430" s="33"/>
      <c r="F430" s="200"/>
      <c r="G430" s="202"/>
      <c r="H430" s="33"/>
      <c r="I430" s="200"/>
      <c r="J430" s="201"/>
      <c r="K430" s="43"/>
      <c r="L430" s="203"/>
      <c r="M430" s="204"/>
      <c r="N430" s="20"/>
    </row>
    <row r="431" spans="1:14" ht="20" customHeight="1" x14ac:dyDescent="0.3">
      <c r="A431" s="21"/>
      <c r="B431" s="36"/>
      <c r="C431" s="39"/>
      <c r="D431" s="39"/>
      <c r="E431" s="39"/>
      <c r="F431" s="39"/>
      <c r="G431" s="39"/>
      <c r="H431" s="179" t="str">
        <f>AI1088</f>
        <v/>
      </c>
      <c r="I431" s="179"/>
      <c r="J431" s="179"/>
      <c r="K431" s="179"/>
      <c r="L431" s="179"/>
      <c r="M431" s="179" t="str">
        <f>IF(C410="","","your progress with THIS INVITEE")</f>
        <v/>
      </c>
      <c r="N431" s="20"/>
    </row>
    <row r="432" spans="1:14" ht="30" customHeight="1" x14ac:dyDescent="0.3">
      <c r="A432" s="47"/>
      <c r="B432" s="123">
        <v>13</v>
      </c>
      <c r="C432" s="182" t="str">
        <f>IF(C131="","Invitee 13",CONCATENATE(C131," ",F131))</f>
        <v>Invitee 13</v>
      </c>
      <c r="D432" s="182"/>
      <c r="E432" s="182"/>
      <c r="F432" s="182"/>
      <c r="G432" s="182"/>
      <c r="H432" s="182"/>
      <c r="I432" s="182"/>
      <c r="J432" s="182"/>
      <c r="K432" s="182"/>
      <c r="L432" s="206">
        <f>M131</f>
        <v>0</v>
      </c>
      <c r="M432" s="206"/>
      <c r="N432" s="48"/>
    </row>
    <row r="433" spans="1:14" ht="20" customHeight="1" x14ac:dyDescent="0.3">
      <c r="A433" s="21"/>
      <c r="B433" s="24"/>
      <c r="C433" s="56" t="s">
        <v>104</v>
      </c>
      <c r="D433" s="56"/>
      <c r="E433" s="57"/>
      <c r="F433" s="83" t="s">
        <v>105</v>
      </c>
      <c r="G433" s="56"/>
      <c r="H433" s="56"/>
      <c r="I433" s="83" t="s">
        <v>106</v>
      </c>
      <c r="J433" s="83"/>
      <c r="K433" s="83"/>
      <c r="L433" s="56" t="s">
        <v>107</v>
      </c>
      <c r="M433" s="56"/>
      <c r="N433" s="20"/>
    </row>
    <row r="434" spans="1:14" ht="20" customHeight="1" x14ac:dyDescent="0.3">
      <c r="A434" s="21"/>
      <c r="B434" s="24"/>
      <c r="C434" s="218"/>
      <c r="D434" s="219"/>
      <c r="E434" s="220"/>
      <c r="F434" s="221"/>
      <c r="G434" s="222"/>
      <c r="H434" s="223"/>
      <c r="I434" s="224"/>
      <c r="J434" s="225"/>
      <c r="K434" s="225"/>
      <c r="L434" s="218"/>
      <c r="M434" s="220"/>
      <c r="N434" s="20"/>
    </row>
    <row r="435" spans="1:14" ht="20" customHeight="1" x14ac:dyDescent="0.3">
      <c r="A435" s="21"/>
      <c r="B435" s="41" t="str">
        <f>IF(C131="","A.  Inviting contact to express their need",CONCATENATE("A.  Inviting ",C131," to express their need"))</f>
        <v>A.  Inviting contact to express their need</v>
      </c>
      <c r="C435" s="36"/>
      <c r="D435" s="36"/>
      <c r="E435" s="36"/>
      <c r="F435" s="36"/>
      <c r="G435" s="36"/>
      <c r="H435" s="36"/>
      <c r="I435" s="40"/>
      <c r="J435" s="36"/>
      <c r="K435" s="36"/>
      <c r="L435" s="36"/>
      <c r="M435" s="46" t="str">
        <f>IF(OR(L437="",K439=""),"",I131)</f>
        <v/>
      </c>
      <c r="N435" s="20"/>
    </row>
    <row r="436" spans="1:14" ht="20" customHeight="1" x14ac:dyDescent="0.3">
      <c r="A436" s="21"/>
      <c r="B436" s="41"/>
      <c r="C436" s="24" t="s">
        <v>22</v>
      </c>
      <c r="D436" s="24"/>
      <c r="E436" s="42" t="s">
        <v>25</v>
      </c>
      <c r="F436" s="34" t="s">
        <v>24</v>
      </c>
      <c r="G436" s="34"/>
      <c r="H436" s="34" t="s">
        <v>30</v>
      </c>
      <c r="I436" s="24" t="s">
        <v>23</v>
      </c>
      <c r="J436" s="24"/>
      <c r="K436" s="24"/>
      <c r="L436" s="231" t="s">
        <v>29</v>
      </c>
      <c r="M436" s="231"/>
      <c r="N436" s="20"/>
    </row>
    <row r="437" spans="1:14" ht="20" customHeight="1" x14ac:dyDescent="0.3">
      <c r="A437" s="21"/>
      <c r="B437" s="23"/>
      <c r="C437" s="200"/>
      <c r="D437" s="201"/>
      <c r="E437" s="33"/>
      <c r="F437" s="200"/>
      <c r="G437" s="201"/>
      <c r="H437" s="33"/>
      <c r="I437" s="200"/>
      <c r="J437" s="201"/>
      <c r="K437" s="43"/>
      <c r="L437" s="203"/>
      <c r="M437" s="204"/>
      <c r="N437" s="20"/>
    </row>
    <row r="438" spans="1:14" ht="60" customHeight="1" x14ac:dyDescent="0.3">
      <c r="A438" s="21"/>
      <c r="B438" s="36"/>
      <c r="C438" s="207" t="str">
        <f>IF(C131="", "Their expressed need:",CONCATENATE(C131,"'s expressed need:"))</f>
        <v>Their expressed need:</v>
      </c>
      <c r="D438" s="208"/>
      <c r="E438" s="209"/>
      <c r="F438" s="210"/>
      <c r="G438" s="210"/>
      <c r="H438" s="210"/>
      <c r="I438" s="210"/>
      <c r="J438" s="210"/>
      <c r="K438" s="210"/>
      <c r="L438" s="210"/>
      <c r="M438" s="211"/>
      <c r="N438" s="20"/>
    </row>
    <row r="439" spans="1:14" ht="20" customHeight="1" x14ac:dyDescent="0.3">
      <c r="A439" s="21"/>
      <c r="B439" s="36"/>
      <c r="C439" s="25"/>
      <c r="D439" s="45" t="s">
        <v>73</v>
      </c>
      <c r="E439" s="212"/>
      <c r="F439" s="213"/>
      <c r="G439" s="213"/>
      <c r="H439" s="214"/>
      <c r="I439" s="25"/>
      <c r="J439" s="44" t="s">
        <v>72</v>
      </c>
      <c r="K439" s="212"/>
      <c r="L439" s="213"/>
      <c r="M439" s="214"/>
      <c r="N439" s="20"/>
    </row>
    <row r="440" spans="1:14" ht="25" customHeight="1" x14ac:dyDescent="0.3">
      <c r="A440" s="21"/>
      <c r="B440" s="41" t="str">
        <f>IF(C131="","B.  Honoring invitee's expressed need",CONCATENATE("B.  Honoring ",C131,"'s expressed need"))</f>
        <v>B.  Honoring invitee's expressed need</v>
      </c>
      <c r="C440" s="36"/>
      <c r="D440" s="36"/>
      <c r="E440" s="36"/>
      <c r="F440" s="36"/>
      <c r="G440" s="36"/>
      <c r="H440" s="36"/>
      <c r="I440" s="40"/>
      <c r="J440" s="36"/>
      <c r="K440" s="36"/>
      <c r="L440" s="36"/>
      <c r="M440" s="46" t="str">
        <f>IF(G443="","",J131)</f>
        <v/>
      </c>
      <c r="N440" s="20"/>
    </row>
    <row r="441" spans="1:14" ht="45" customHeight="1" x14ac:dyDescent="0.3">
      <c r="A441" s="21"/>
      <c r="B441" s="36"/>
      <c r="C441" s="215" t="str">
        <f>IF(C131="","Honoring invitee's expressed need",CONCATENATE("Honoring ",C131,"'s expressed need"))</f>
        <v>Honoring invitee's expressed need</v>
      </c>
      <c r="D441" s="215"/>
      <c r="E441" s="216"/>
      <c r="F441" s="185"/>
      <c r="G441" s="186"/>
      <c r="H441" s="186"/>
      <c r="I441" s="186"/>
      <c r="J441" s="186"/>
      <c r="K441" s="186"/>
      <c r="L441" s="186"/>
      <c r="M441" s="187"/>
      <c r="N441" s="20"/>
    </row>
    <row r="442" spans="1:14" ht="45" customHeight="1" x14ac:dyDescent="0.3">
      <c r="A442" s="21"/>
      <c r="B442" s="36"/>
      <c r="C442" s="226" t="str">
        <f>IF(C131="","Invitee's feedback to my efforts",CONCATENATE(C131,"'s feedback to my efforts"))</f>
        <v>Invitee's feedback to my efforts</v>
      </c>
      <c r="D442" s="226"/>
      <c r="E442" s="227"/>
      <c r="F442" s="185"/>
      <c r="G442" s="186"/>
      <c r="H442" s="186"/>
      <c r="I442" s="186"/>
      <c r="J442" s="186"/>
      <c r="K442" s="186"/>
      <c r="L442" s="186"/>
      <c r="M442" s="187"/>
      <c r="N442" s="20"/>
    </row>
    <row r="443" spans="1:14" ht="20" customHeight="1" x14ac:dyDescent="0.3">
      <c r="A443" s="21"/>
      <c r="B443" s="36"/>
      <c r="C443" s="188" t="str">
        <f>IF(C131="","Their satisfaction level ",CONCATENATE(C131,"'s satisfaction level "))</f>
        <v xml:space="preserve">Their satisfaction level </v>
      </c>
      <c r="D443" s="188"/>
      <c r="E443" s="188"/>
      <c r="F443" s="189"/>
      <c r="G443" s="190"/>
      <c r="H443" s="191"/>
      <c r="I443" s="192"/>
      <c r="J443" s="228" t="str">
        <f>IF(C131="","Their emotional response ",CONCATENATE(C131,"'s emotional response "))</f>
        <v xml:space="preserve">Their emotional response </v>
      </c>
      <c r="K443" s="229"/>
      <c r="L443" s="230"/>
      <c r="M443" s="43"/>
      <c r="N443" s="20"/>
    </row>
    <row r="444" spans="1:14" ht="20" customHeight="1" x14ac:dyDescent="0.3">
      <c r="A444" s="21"/>
      <c r="B444" s="36"/>
      <c r="C444" s="39"/>
      <c r="D444" s="39"/>
      <c r="E444" s="39"/>
      <c r="F444" s="39"/>
      <c r="G444" s="39"/>
      <c r="H444" s="39"/>
      <c r="I444" s="39"/>
      <c r="J444" s="39"/>
      <c r="K444" s="39"/>
      <c r="L444" s="39"/>
      <c r="M444" s="39"/>
      <c r="N444" s="20"/>
    </row>
    <row r="445" spans="1:14" ht="25" customHeight="1" x14ac:dyDescent="0.3">
      <c r="A445" s="21"/>
      <c r="B445" s="41" t="str">
        <f>IF(C131="","C.  My expressed need to ask this invitee",CONCATENATE("C.  My expressed need to ask ",C131))</f>
        <v>C.  My expressed need to ask this invitee</v>
      </c>
      <c r="C445" s="38"/>
      <c r="D445" s="38"/>
      <c r="E445" s="38"/>
      <c r="F445" s="37"/>
      <c r="G445" s="37"/>
      <c r="H445" s="37"/>
      <c r="I445" s="37"/>
      <c r="J445" s="37"/>
      <c r="K445" s="37"/>
      <c r="L445" s="37"/>
      <c r="M445" s="49" t="str">
        <f>IF(OR(G449="",M449=""),"",K131)</f>
        <v/>
      </c>
      <c r="N445" s="20"/>
    </row>
    <row r="446" spans="1:14" ht="45" customHeight="1" x14ac:dyDescent="0.3">
      <c r="A446" s="21"/>
      <c r="B446" s="52" t="s">
        <v>87</v>
      </c>
      <c r="C446" s="183" t="str">
        <f>IF(C131="","Affirming this invitee",CONCATENATE("Affirming ",C131))</f>
        <v>Affirming this invitee</v>
      </c>
      <c r="D446" s="183"/>
      <c r="E446" s="184"/>
      <c r="F446" s="185" t="s">
        <v>89</v>
      </c>
      <c r="G446" s="186"/>
      <c r="H446" s="186"/>
      <c r="I446" s="186"/>
      <c r="J446" s="186"/>
      <c r="K446" s="186"/>
      <c r="L446" s="186"/>
      <c r="M446" s="187"/>
      <c r="N446" s="20"/>
    </row>
    <row r="447" spans="1:14" ht="45" customHeight="1" x14ac:dyDescent="0.3">
      <c r="A447" s="21"/>
      <c r="B447" s="53" t="s">
        <v>88</v>
      </c>
      <c r="C447" s="183" t="str">
        <f>IF(C131="","My need this invitee could respect",CONCATENATE("My need ",C131," could respect"))</f>
        <v>My need this invitee could respect</v>
      </c>
      <c r="D447" s="183"/>
      <c r="E447" s="184"/>
      <c r="F447" s="185" t="s">
        <v>155</v>
      </c>
      <c r="G447" s="186"/>
      <c r="H447" s="186"/>
      <c r="I447" s="186"/>
      <c r="J447" s="186"/>
      <c r="K447" s="186"/>
      <c r="L447" s="186"/>
      <c r="M447" s="187"/>
      <c r="N447" s="20"/>
    </row>
    <row r="448" spans="1:14" ht="45" customHeight="1" x14ac:dyDescent="0.3">
      <c r="A448" s="21"/>
      <c r="B448" s="52" t="s">
        <v>87</v>
      </c>
      <c r="C448" s="183" t="str">
        <f>IF(C131="","Mutuality with this invitee",CONCATENATE("Mutuality with ",C131))</f>
        <v>Mutuality with this invitee</v>
      </c>
      <c r="D448" s="183"/>
      <c r="E448" s="184"/>
      <c r="F448" s="185" t="s">
        <v>90</v>
      </c>
      <c r="G448" s="186"/>
      <c r="H448" s="186"/>
      <c r="I448" s="186"/>
      <c r="J448" s="186"/>
      <c r="K448" s="186"/>
      <c r="L448" s="186"/>
      <c r="M448" s="187"/>
      <c r="N448" s="20"/>
    </row>
    <row r="449" spans="1:14" ht="20" customHeight="1" x14ac:dyDescent="0.3">
      <c r="A449" s="21"/>
      <c r="B449" s="36"/>
      <c r="C449" s="188" t="str">
        <f>IF(C131="","Their receptive level ",CONCATENATE(C131,"'s receptive level "))</f>
        <v xml:space="preserve">Their receptive level </v>
      </c>
      <c r="D449" s="188"/>
      <c r="E449" s="188"/>
      <c r="F449" s="189"/>
      <c r="G449" s="190"/>
      <c r="H449" s="191"/>
      <c r="I449" s="192"/>
      <c r="J449" s="193" t="str">
        <f>IF(C131="","Their responsiveness ",CONCATENATE(C131,"'s responsiveness "))</f>
        <v xml:space="preserve">Their responsiveness </v>
      </c>
      <c r="K449" s="194"/>
      <c r="L449" s="195"/>
      <c r="M449" s="51"/>
      <c r="N449" s="20"/>
    </row>
    <row r="450" spans="1:14" ht="20" customHeight="1" x14ac:dyDescent="0.3">
      <c r="A450" s="21"/>
      <c r="B450" s="36"/>
      <c r="C450" s="22"/>
      <c r="D450" s="22"/>
      <c r="E450" s="22"/>
      <c r="F450" s="22"/>
      <c r="G450" s="22"/>
      <c r="H450" s="22"/>
      <c r="I450" s="22"/>
      <c r="J450" s="22"/>
      <c r="K450" s="22"/>
      <c r="L450" s="22"/>
      <c r="M450" s="22"/>
      <c r="N450" s="20"/>
    </row>
    <row r="451" spans="1:14" ht="25" customHeight="1" x14ac:dyDescent="0.3">
      <c r="A451" s="21"/>
      <c r="B451" s="41" t="str">
        <f>IF(C131="","D.  Interest in my potential wellness campaign",CONCATENATE("D.  ",C131,"'s interest in my potential wellness campaign"))</f>
        <v>D.  Interest in my potential wellness campaign</v>
      </c>
      <c r="C451" s="39"/>
      <c r="D451" s="39"/>
      <c r="E451" s="39"/>
      <c r="F451" s="39"/>
      <c r="G451" s="39"/>
      <c r="H451" s="39"/>
      <c r="I451" s="39"/>
      <c r="J451" s="39"/>
      <c r="K451" s="39"/>
      <c r="L451" s="39"/>
      <c r="M451" s="49" t="str">
        <f>IF(OR(C454="",I454="",L454=""),"",L131)</f>
        <v/>
      </c>
      <c r="N451" s="20"/>
    </row>
    <row r="452" spans="1:14" ht="20" customHeight="1" x14ac:dyDescent="0.3">
      <c r="A452" s="21"/>
      <c r="B452" s="36"/>
      <c r="C452" s="39"/>
      <c r="D452" s="39"/>
      <c r="E452" s="50" t="s">
        <v>96</v>
      </c>
      <c r="F452" s="196" t="str">
        <f>IF(F428="","",F428)</f>
        <v/>
      </c>
      <c r="G452" s="197"/>
      <c r="H452" s="197"/>
      <c r="I452" s="197"/>
      <c r="J452" s="197"/>
      <c r="K452" s="197"/>
      <c r="L452" s="197"/>
      <c r="M452" s="198"/>
      <c r="N452" s="20"/>
    </row>
    <row r="453" spans="1:14" ht="20" customHeight="1" x14ac:dyDescent="0.3">
      <c r="A453" s="21"/>
      <c r="B453" s="36"/>
      <c r="C453" s="24" t="s">
        <v>22</v>
      </c>
      <c r="D453" s="24"/>
      <c r="E453" s="42" t="s">
        <v>25</v>
      </c>
      <c r="F453" s="34" t="s">
        <v>24</v>
      </c>
      <c r="G453" s="34"/>
      <c r="H453" s="34" t="s">
        <v>30</v>
      </c>
      <c r="I453" s="24" t="s">
        <v>23</v>
      </c>
      <c r="J453" s="24"/>
      <c r="K453" s="24"/>
      <c r="L453" s="199" t="s">
        <v>29</v>
      </c>
      <c r="M453" s="199"/>
      <c r="N453" s="20"/>
    </row>
    <row r="454" spans="1:14" ht="20" customHeight="1" x14ac:dyDescent="0.3">
      <c r="A454" s="21"/>
      <c r="B454" s="36"/>
      <c r="C454" s="200"/>
      <c r="D454" s="201"/>
      <c r="E454" s="33"/>
      <c r="F454" s="200"/>
      <c r="G454" s="202"/>
      <c r="H454" s="33"/>
      <c r="I454" s="200"/>
      <c r="J454" s="201"/>
      <c r="K454" s="43"/>
      <c r="L454" s="203"/>
      <c r="M454" s="204"/>
      <c r="N454" s="20"/>
    </row>
    <row r="455" spans="1:14" ht="20" customHeight="1" x14ac:dyDescent="0.3">
      <c r="A455" s="21"/>
      <c r="B455" s="36"/>
      <c r="C455" s="39"/>
      <c r="D455" s="39"/>
      <c r="E455" s="39"/>
      <c r="F455" s="39"/>
      <c r="G455" s="39"/>
      <c r="H455" s="179" t="str">
        <f>AI1089</f>
        <v/>
      </c>
      <c r="I455" s="179"/>
      <c r="J455" s="179"/>
      <c r="K455" s="179"/>
      <c r="L455" s="179"/>
      <c r="M455" s="179" t="str">
        <f>IF(C434="","","your progress with THIS INVITEE")</f>
        <v/>
      </c>
      <c r="N455" s="20"/>
    </row>
    <row r="456" spans="1:14" ht="30" customHeight="1" x14ac:dyDescent="0.3">
      <c r="A456" s="47"/>
      <c r="B456" s="123">
        <v>14</v>
      </c>
      <c r="C456" s="182" t="str">
        <f>IF(C132="","Invitee 14",CONCATENATE(C132," ",F132))</f>
        <v>Invitee 14</v>
      </c>
      <c r="D456" s="182"/>
      <c r="E456" s="182"/>
      <c r="F456" s="182"/>
      <c r="G456" s="182"/>
      <c r="H456" s="182"/>
      <c r="I456" s="182"/>
      <c r="J456" s="182"/>
      <c r="K456" s="182"/>
      <c r="L456" s="206">
        <f>M132</f>
        <v>0</v>
      </c>
      <c r="M456" s="206"/>
      <c r="N456" s="48"/>
    </row>
    <row r="457" spans="1:14" ht="20" customHeight="1" x14ac:dyDescent="0.3">
      <c r="A457" s="21"/>
      <c r="B457" s="24"/>
      <c r="C457" s="56" t="s">
        <v>104</v>
      </c>
      <c r="D457" s="56"/>
      <c r="E457" s="57"/>
      <c r="F457" s="83" t="s">
        <v>105</v>
      </c>
      <c r="G457" s="56"/>
      <c r="H457" s="56"/>
      <c r="I457" s="83" t="s">
        <v>106</v>
      </c>
      <c r="J457" s="83"/>
      <c r="K457" s="83"/>
      <c r="L457" s="56" t="s">
        <v>107</v>
      </c>
      <c r="M457" s="56"/>
      <c r="N457" s="20"/>
    </row>
    <row r="458" spans="1:14" ht="20" customHeight="1" x14ac:dyDescent="0.3">
      <c r="A458" s="21"/>
      <c r="B458" s="24"/>
      <c r="C458" s="218"/>
      <c r="D458" s="219"/>
      <c r="E458" s="220"/>
      <c r="F458" s="221"/>
      <c r="G458" s="222"/>
      <c r="H458" s="223"/>
      <c r="I458" s="224"/>
      <c r="J458" s="225"/>
      <c r="K458" s="225"/>
      <c r="L458" s="218"/>
      <c r="M458" s="220"/>
      <c r="N458" s="20"/>
    </row>
    <row r="459" spans="1:14" ht="20" customHeight="1" x14ac:dyDescent="0.3">
      <c r="A459" s="21"/>
      <c r="B459" s="41" t="str">
        <f>IF(C132="","A.  Inviting contact to express their need",CONCATENATE("A.  Inviting ",C132," to express their need"))</f>
        <v>A.  Inviting contact to express their need</v>
      </c>
      <c r="C459" s="36"/>
      <c r="D459" s="36"/>
      <c r="E459" s="36"/>
      <c r="F459" s="36"/>
      <c r="G459" s="36"/>
      <c r="H459" s="36"/>
      <c r="I459" s="40"/>
      <c r="J459" s="36"/>
      <c r="K459" s="36"/>
      <c r="L459" s="36"/>
      <c r="M459" s="46" t="str">
        <f>IF(OR(L461="",K463=""),"",I132)</f>
        <v/>
      </c>
      <c r="N459" s="20"/>
    </row>
    <row r="460" spans="1:14" ht="20" customHeight="1" x14ac:dyDescent="0.3">
      <c r="A460" s="21"/>
      <c r="B460" s="41"/>
      <c r="C460" s="24" t="s">
        <v>22</v>
      </c>
      <c r="D460" s="24"/>
      <c r="E460" s="42" t="s">
        <v>25</v>
      </c>
      <c r="F460" s="34" t="s">
        <v>24</v>
      </c>
      <c r="G460" s="34"/>
      <c r="H460" s="34" t="s">
        <v>30</v>
      </c>
      <c r="I460" s="24" t="s">
        <v>23</v>
      </c>
      <c r="J460" s="24"/>
      <c r="K460" s="24"/>
      <c r="L460" s="231" t="s">
        <v>29</v>
      </c>
      <c r="M460" s="231"/>
      <c r="N460" s="20"/>
    </row>
    <row r="461" spans="1:14" ht="20" customHeight="1" x14ac:dyDescent="0.3">
      <c r="A461" s="21"/>
      <c r="B461" s="23"/>
      <c r="C461" s="200"/>
      <c r="D461" s="201"/>
      <c r="E461" s="33"/>
      <c r="F461" s="200"/>
      <c r="G461" s="201"/>
      <c r="H461" s="33"/>
      <c r="I461" s="200"/>
      <c r="J461" s="201"/>
      <c r="K461" s="43"/>
      <c r="L461" s="203"/>
      <c r="M461" s="204"/>
      <c r="N461" s="20"/>
    </row>
    <row r="462" spans="1:14" ht="60" customHeight="1" x14ac:dyDescent="0.3">
      <c r="A462" s="21"/>
      <c r="B462" s="36"/>
      <c r="C462" s="207" t="str">
        <f>IF(C132="", "Their expressed need:",CONCATENATE(C132,"'s expressed need:"))</f>
        <v>Their expressed need:</v>
      </c>
      <c r="D462" s="208"/>
      <c r="E462" s="209"/>
      <c r="F462" s="210"/>
      <c r="G462" s="210"/>
      <c r="H462" s="210"/>
      <c r="I462" s="210"/>
      <c r="J462" s="210"/>
      <c r="K462" s="210"/>
      <c r="L462" s="210"/>
      <c r="M462" s="211"/>
      <c r="N462" s="20"/>
    </row>
    <row r="463" spans="1:14" ht="20" customHeight="1" x14ac:dyDescent="0.3">
      <c r="A463" s="21"/>
      <c r="B463" s="36"/>
      <c r="C463" s="25"/>
      <c r="D463" s="45" t="s">
        <v>73</v>
      </c>
      <c r="E463" s="212"/>
      <c r="F463" s="213"/>
      <c r="G463" s="213"/>
      <c r="H463" s="214"/>
      <c r="I463" s="25"/>
      <c r="J463" s="44" t="s">
        <v>72</v>
      </c>
      <c r="K463" s="212"/>
      <c r="L463" s="213"/>
      <c r="M463" s="214"/>
      <c r="N463" s="20"/>
    </row>
    <row r="464" spans="1:14" ht="25" customHeight="1" x14ac:dyDescent="0.3">
      <c r="A464" s="21"/>
      <c r="B464" s="41" t="str">
        <f>IF(C132="","B.  Honoring invitee's expressed need",CONCATENATE("B.  Honoring ",C132,"'s expressed need"))</f>
        <v>B.  Honoring invitee's expressed need</v>
      </c>
      <c r="C464" s="36"/>
      <c r="D464" s="36"/>
      <c r="E464" s="36"/>
      <c r="F464" s="36"/>
      <c r="G464" s="36"/>
      <c r="H464" s="36"/>
      <c r="I464" s="40"/>
      <c r="J464" s="36"/>
      <c r="K464" s="36"/>
      <c r="L464" s="36"/>
      <c r="M464" s="46" t="str">
        <f>IF(G467="","",J132)</f>
        <v/>
      </c>
      <c r="N464" s="20"/>
    </row>
    <row r="465" spans="1:14" ht="45" customHeight="1" x14ac:dyDescent="0.3">
      <c r="A465" s="21"/>
      <c r="B465" s="36"/>
      <c r="C465" s="215" t="str">
        <f>IF(C132="","Honoring invitee's expressed need",CONCATENATE("Honoring ",C132,"'s expressed need"))</f>
        <v>Honoring invitee's expressed need</v>
      </c>
      <c r="D465" s="215"/>
      <c r="E465" s="216"/>
      <c r="F465" s="185"/>
      <c r="G465" s="186"/>
      <c r="H465" s="186"/>
      <c r="I465" s="186"/>
      <c r="J465" s="186"/>
      <c r="K465" s="186"/>
      <c r="L465" s="186"/>
      <c r="M465" s="187"/>
      <c r="N465" s="20"/>
    </row>
    <row r="466" spans="1:14" ht="45" customHeight="1" x14ac:dyDescent="0.3">
      <c r="A466" s="21"/>
      <c r="B466" s="36"/>
      <c r="C466" s="226" t="str">
        <f>IF(C132="","Invitee's feedback to my efforts",CONCATENATE(C132,"'s feedback to my efforts"))</f>
        <v>Invitee's feedback to my efforts</v>
      </c>
      <c r="D466" s="226"/>
      <c r="E466" s="227"/>
      <c r="F466" s="185"/>
      <c r="G466" s="186"/>
      <c r="H466" s="186"/>
      <c r="I466" s="186"/>
      <c r="J466" s="186"/>
      <c r="K466" s="186"/>
      <c r="L466" s="186"/>
      <c r="M466" s="187"/>
      <c r="N466" s="20"/>
    </row>
    <row r="467" spans="1:14" ht="20" customHeight="1" x14ac:dyDescent="0.3">
      <c r="A467" s="21"/>
      <c r="B467" s="36"/>
      <c r="C467" s="188" t="str">
        <f>IF(C132="","Their satisfaction level ",CONCATENATE(C132,"'s satisfaction level "))</f>
        <v xml:space="preserve">Their satisfaction level </v>
      </c>
      <c r="D467" s="188"/>
      <c r="E467" s="188"/>
      <c r="F467" s="189"/>
      <c r="G467" s="190"/>
      <c r="H467" s="191"/>
      <c r="I467" s="192"/>
      <c r="J467" s="228" t="str">
        <f>IF(C132="","Their emotional response ",CONCATENATE(C132,"'s emotional response "))</f>
        <v xml:space="preserve">Their emotional response </v>
      </c>
      <c r="K467" s="229"/>
      <c r="L467" s="230"/>
      <c r="M467" s="43"/>
      <c r="N467" s="20"/>
    </row>
    <row r="468" spans="1:14" ht="20" customHeight="1" x14ac:dyDescent="0.3">
      <c r="A468" s="21"/>
      <c r="B468" s="36"/>
      <c r="C468" s="39"/>
      <c r="D468" s="39"/>
      <c r="E468" s="39"/>
      <c r="F468" s="39"/>
      <c r="G468" s="39"/>
      <c r="H468" s="39"/>
      <c r="I468" s="39"/>
      <c r="J468" s="39"/>
      <c r="K468" s="39"/>
      <c r="L468" s="39"/>
      <c r="M468" s="39"/>
      <c r="N468" s="20"/>
    </row>
    <row r="469" spans="1:14" ht="25" customHeight="1" x14ac:dyDescent="0.3">
      <c r="A469" s="21"/>
      <c r="B469" s="41" t="str">
        <f>IF(C132="","C.  My expressed need to ask this invitee",CONCATENATE("C.  My expressed need to ask ",C132))</f>
        <v>C.  My expressed need to ask this invitee</v>
      </c>
      <c r="C469" s="38"/>
      <c r="D469" s="38"/>
      <c r="E469" s="38"/>
      <c r="F469" s="37"/>
      <c r="G469" s="37"/>
      <c r="H469" s="37"/>
      <c r="I469" s="37"/>
      <c r="J469" s="37"/>
      <c r="K469" s="37"/>
      <c r="L469" s="37"/>
      <c r="M469" s="49" t="str">
        <f>IF(OR(G473="",M473=""),"",K132)</f>
        <v/>
      </c>
      <c r="N469" s="20"/>
    </row>
    <row r="470" spans="1:14" ht="45" customHeight="1" x14ac:dyDescent="0.3">
      <c r="A470" s="21"/>
      <c r="B470" s="52" t="s">
        <v>87</v>
      </c>
      <c r="C470" s="183" t="str">
        <f>IF(C132="","Affirming this invitee",CONCATENATE("Affirming ",C132))</f>
        <v>Affirming this invitee</v>
      </c>
      <c r="D470" s="183"/>
      <c r="E470" s="184"/>
      <c r="F470" s="185" t="s">
        <v>89</v>
      </c>
      <c r="G470" s="186"/>
      <c r="H470" s="186"/>
      <c r="I470" s="186"/>
      <c r="J470" s="186"/>
      <c r="K470" s="186"/>
      <c r="L470" s="186"/>
      <c r="M470" s="187"/>
      <c r="N470" s="20"/>
    </row>
    <row r="471" spans="1:14" ht="45" customHeight="1" x14ac:dyDescent="0.3">
      <c r="A471" s="21"/>
      <c r="B471" s="53" t="s">
        <v>88</v>
      </c>
      <c r="C471" s="183" t="str">
        <f>IF(C132="","My need this invitee could respect",CONCATENATE("My need ",C132," could respect"))</f>
        <v>My need this invitee could respect</v>
      </c>
      <c r="D471" s="183"/>
      <c r="E471" s="184"/>
      <c r="F471" s="185" t="s">
        <v>155</v>
      </c>
      <c r="G471" s="186"/>
      <c r="H471" s="186"/>
      <c r="I471" s="186"/>
      <c r="J471" s="186"/>
      <c r="K471" s="186"/>
      <c r="L471" s="186"/>
      <c r="M471" s="187"/>
      <c r="N471" s="20"/>
    </row>
    <row r="472" spans="1:14" ht="45" customHeight="1" x14ac:dyDescent="0.3">
      <c r="A472" s="21"/>
      <c r="B472" s="52" t="s">
        <v>87</v>
      </c>
      <c r="C472" s="183" t="str">
        <f>IF(C132="","Mutuality with this invitee",CONCATENATE("Mutuality with ",C132))</f>
        <v>Mutuality with this invitee</v>
      </c>
      <c r="D472" s="183"/>
      <c r="E472" s="184"/>
      <c r="F472" s="185" t="s">
        <v>90</v>
      </c>
      <c r="G472" s="186"/>
      <c r="H472" s="186"/>
      <c r="I472" s="186"/>
      <c r="J472" s="186"/>
      <c r="K472" s="186"/>
      <c r="L472" s="186"/>
      <c r="M472" s="187"/>
      <c r="N472" s="20"/>
    </row>
    <row r="473" spans="1:14" ht="20" customHeight="1" x14ac:dyDescent="0.3">
      <c r="A473" s="21"/>
      <c r="B473" s="36"/>
      <c r="C473" s="188" t="str">
        <f>IF(C132="","Their receptive level ",CONCATENATE(C132,"'s receptive level "))</f>
        <v xml:space="preserve">Their receptive level </v>
      </c>
      <c r="D473" s="188"/>
      <c r="E473" s="188"/>
      <c r="F473" s="189"/>
      <c r="G473" s="190"/>
      <c r="H473" s="191"/>
      <c r="I473" s="192"/>
      <c r="J473" s="193" t="str">
        <f>IF(C132="","Their responsiveness ",CONCATENATE(C132,"'s responsiveness "))</f>
        <v xml:space="preserve">Their responsiveness </v>
      </c>
      <c r="K473" s="194"/>
      <c r="L473" s="195"/>
      <c r="M473" s="51"/>
      <c r="N473" s="20"/>
    </row>
    <row r="474" spans="1:14" ht="20" customHeight="1" x14ac:dyDescent="0.3">
      <c r="A474" s="21"/>
      <c r="B474" s="36"/>
      <c r="C474" s="22"/>
      <c r="D474" s="22"/>
      <c r="E474" s="22"/>
      <c r="F474" s="22"/>
      <c r="G474" s="22"/>
      <c r="H474" s="22"/>
      <c r="I474" s="22"/>
      <c r="J474" s="22"/>
      <c r="K474" s="22"/>
      <c r="L474" s="22"/>
      <c r="M474" s="22"/>
      <c r="N474" s="20"/>
    </row>
    <row r="475" spans="1:14" ht="25" customHeight="1" x14ac:dyDescent="0.3">
      <c r="A475" s="21"/>
      <c r="B475" s="41" t="str">
        <f>IF(C132="","D.  Interest in my potential wellness campaign",CONCATENATE("D.  ",C132,"'s interest in my potential wellness campaign"))</f>
        <v>D.  Interest in my potential wellness campaign</v>
      </c>
      <c r="C475" s="39"/>
      <c r="D475" s="39"/>
      <c r="E475" s="39"/>
      <c r="F475" s="39"/>
      <c r="G475" s="39"/>
      <c r="H475" s="39"/>
      <c r="I475" s="39"/>
      <c r="J475" s="39"/>
      <c r="K475" s="39"/>
      <c r="L475" s="39"/>
      <c r="M475" s="49" t="str">
        <f>IF(OR(C478="",I478="",L478=""),"",L132)</f>
        <v/>
      </c>
      <c r="N475" s="20"/>
    </row>
    <row r="476" spans="1:14" ht="20" customHeight="1" x14ac:dyDescent="0.3">
      <c r="A476" s="21"/>
      <c r="B476" s="36"/>
      <c r="C476" s="39"/>
      <c r="D476" s="39"/>
      <c r="E476" s="50" t="s">
        <v>96</v>
      </c>
      <c r="F476" s="196" t="str">
        <f>IF(F452="","",F452)</f>
        <v/>
      </c>
      <c r="G476" s="197"/>
      <c r="H476" s="197"/>
      <c r="I476" s="197"/>
      <c r="J476" s="197"/>
      <c r="K476" s="197"/>
      <c r="L476" s="197"/>
      <c r="M476" s="198"/>
      <c r="N476" s="20"/>
    </row>
    <row r="477" spans="1:14" ht="20" customHeight="1" x14ac:dyDescent="0.3">
      <c r="A477" s="21"/>
      <c r="B477" s="36"/>
      <c r="C477" s="24" t="s">
        <v>22</v>
      </c>
      <c r="D477" s="24"/>
      <c r="E477" s="42" t="s">
        <v>25</v>
      </c>
      <c r="F477" s="34" t="s">
        <v>24</v>
      </c>
      <c r="G477" s="34"/>
      <c r="H477" s="34" t="s">
        <v>30</v>
      </c>
      <c r="I477" s="24" t="s">
        <v>23</v>
      </c>
      <c r="J477" s="24"/>
      <c r="K477" s="24"/>
      <c r="L477" s="199" t="s">
        <v>29</v>
      </c>
      <c r="M477" s="199"/>
      <c r="N477" s="20"/>
    </row>
    <row r="478" spans="1:14" ht="20" customHeight="1" x14ac:dyDescent="0.3">
      <c r="A478" s="21"/>
      <c r="B478" s="36"/>
      <c r="C478" s="200"/>
      <c r="D478" s="201"/>
      <c r="E478" s="33"/>
      <c r="F478" s="200"/>
      <c r="G478" s="202"/>
      <c r="H478" s="33"/>
      <c r="I478" s="200"/>
      <c r="J478" s="201"/>
      <c r="K478" s="43"/>
      <c r="L478" s="203"/>
      <c r="M478" s="204"/>
      <c r="N478" s="20"/>
    </row>
    <row r="479" spans="1:14" ht="20" customHeight="1" x14ac:dyDescent="0.3">
      <c r="A479" s="21"/>
      <c r="B479" s="36"/>
      <c r="C479" s="39"/>
      <c r="D479" s="39"/>
      <c r="E479" s="39"/>
      <c r="F479" s="39"/>
      <c r="G479" s="39"/>
      <c r="H479" s="179" t="str">
        <f>AI1090</f>
        <v/>
      </c>
      <c r="I479" s="179"/>
      <c r="J479" s="179"/>
      <c r="K479" s="179"/>
      <c r="L479" s="179"/>
      <c r="M479" s="179" t="str">
        <f>IF(C458="","","your progress with THIS INVITEE")</f>
        <v/>
      </c>
      <c r="N479" s="20"/>
    </row>
    <row r="480" spans="1:14" ht="30" customHeight="1" x14ac:dyDescent="0.3">
      <c r="A480" s="47"/>
      <c r="B480" s="123">
        <v>15</v>
      </c>
      <c r="C480" s="182" t="str">
        <f>IF(C133="","Invitee 15",CONCATENATE(C133," ",F133))</f>
        <v>Invitee 15</v>
      </c>
      <c r="D480" s="182"/>
      <c r="E480" s="182"/>
      <c r="F480" s="182"/>
      <c r="G480" s="182"/>
      <c r="H480" s="182"/>
      <c r="I480" s="182"/>
      <c r="J480" s="182"/>
      <c r="K480" s="182"/>
      <c r="L480" s="206">
        <f>M133</f>
        <v>0</v>
      </c>
      <c r="M480" s="206"/>
      <c r="N480" s="48"/>
    </row>
    <row r="481" spans="1:14" ht="20" customHeight="1" x14ac:dyDescent="0.3">
      <c r="A481" s="21"/>
      <c r="B481" s="24"/>
      <c r="C481" s="56" t="s">
        <v>104</v>
      </c>
      <c r="D481" s="56"/>
      <c r="E481" s="57"/>
      <c r="F481" s="83" t="s">
        <v>105</v>
      </c>
      <c r="G481" s="56"/>
      <c r="H481" s="56"/>
      <c r="I481" s="83" t="s">
        <v>106</v>
      </c>
      <c r="J481" s="83"/>
      <c r="K481" s="83"/>
      <c r="L481" s="56" t="s">
        <v>107</v>
      </c>
      <c r="M481" s="56"/>
      <c r="N481" s="20"/>
    </row>
    <row r="482" spans="1:14" ht="20" customHeight="1" x14ac:dyDescent="0.3">
      <c r="A482" s="21"/>
      <c r="B482" s="24"/>
      <c r="C482" s="218"/>
      <c r="D482" s="219"/>
      <c r="E482" s="220"/>
      <c r="F482" s="221"/>
      <c r="G482" s="222"/>
      <c r="H482" s="223"/>
      <c r="I482" s="224"/>
      <c r="J482" s="225"/>
      <c r="K482" s="225"/>
      <c r="L482" s="218"/>
      <c r="M482" s="220"/>
      <c r="N482" s="20"/>
    </row>
    <row r="483" spans="1:14" ht="20" customHeight="1" x14ac:dyDescent="0.3">
      <c r="A483" s="21"/>
      <c r="B483" s="41" t="str">
        <f>IF(C133="","A.  Inviting contact to express their need",CONCATENATE("A.  Inviting ",C133," to express their need"))</f>
        <v>A.  Inviting contact to express their need</v>
      </c>
      <c r="C483" s="36"/>
      <c r="D483" s="36"/>
      <c r="E483" s="36"/>
      <c r="F483" s="36"/>
      <c r="G483" s="36"/>
      <c r="H483" s="36"/>
      <c r="I483" s="40"/>
      <c r="J483" s="36"/>
      <c r="K483" s="36"/>
      <c r="L483" s="36"/>
      <c r="M483" s="46" t="str">
        <f>IF(OR(L485="",K487=""),"",I133)</f>
        <v/>
      </c>
      <c r="N483" s="20"/>
    </row>
    <row r="484" spans="1:14" ht="20" customHeight="1" x14ac:dyDescent="0.3">
      <c r="A484" s="21"/>
      <c r="B484" s="41"/>
      <c r="C484" s="24" t="s">
        <v>22</v>
      </c>
      <c r="D484" s="24"/>
      <c r="E484" s="42" t="s">
        <v>25</v>
      </c>
      <c r="F484" s="34" t="s">
        <v>24</v>
      </c>
      <c r="G484" s="34"/>
      <c r="H484" s="34" t="s">
        <v>30</v>
      </c>
      <c r="I484" s="24" t="s">
        <v>23</v>
      </c>
      <c r="J484" s="24"/>
      <c r="K484" s="24"/>
      <c r="L484" s="231" t="s">
        <v>29</v>
      </c>
      <c r="M484" s="231"/>
      <c r="N484" s="20"/>
    </row>
    <row r="485" spans="1:14" ht="20" customHeight="1" x14ac:dyDescent="0.3">
      <c r="A485" s="21"/>
      <c r="B485" s="23"/>
      <c r="C485" s="200"/>
      <c r="D485" s="201"/>
      <c r="E485" s="33"/>
      <c r="F485" s="200"/>
      <c r="G485" s="201"/>
      <c r="H485" s="33"/>
      <c r="I485" s="200"/>
      <c r="J485" s="201"/>
      <c r="K485" s="43"/>
      <c r="L485" s="203"/>
      <c r="M485" s="204"/>
      <c r="N485" s="20"/>
    </row>
    <row r="486" spans="1:14" ht="60" customHeight="1" x14ac:dyDescent="0.3">
      <c r="A486" s="21"/>
      <c r="B486" s="36"/>
      <c r="C486" s="207" t="str">
        <f>IF(C133="", "Their expressed need:",CONCATENATE(C133,"'s expressed need:"))</f>
        <v>Their expressed need:</v>
      </c>
      <c r="D486" s="208"/>
      <c r="E486" s="209"/>
      <c r="F486" s="210"/>
      <c r="G486" s="210"/>
      <c r="H486" s="210"/>
      <c r="I486" s="210"/>
      <c r="J486" s="210"/>
      <c r="K486" s="210"/>
      <c r="L486" s="210"/>
      <c r="M486" s="211"/>
      <c r="N486" s="20"/>
    </row>
    <row r="487" spans="1:14" ht="20" customHeight="1" x14ac:dyDescent="0.3">
      <c r="A487" s="21"/>
      <c r="B487" s="36"/>
      <c r="C487" s="25"/>
      <c r="D487" s="45" t="s">
        <v>73</v>
      </c>
      <c r="E487" s="212"/>
      <c r="F487" s="213"/>
      <c r="G487" s="213"/>
      <c r="H487" s="214"/>
      <c r="I487" s="25"/>
      <c r="J487" s="44" t="s">
        <v>72</v>
      </c>
      <c r="K487" s="212"/>
      <c r="L487" s="213"/>
      <c r="M487" s="214"/>
      <c r="N487" s="20"/>
    </row>
    <row r="488" spans="1:14" ht="25" customHeight="1" x14ac:dyDescent="0.3">
      <c r="A488" s="21"/>
      <c r="B488" s="41" t="str">
        <f>IF(C133="","B.  Honoring invitee's expressed need",CONCATENATE("B.  Honoring ",C133,"'s expressed need"))</f>
        <v>B.  Honoring invitee's expressed need</v>
      </c>
      <c r="C488" s="36"/>
      <c r="D488" s="36"/>
      <c r="E488" s="36"/>
      <c r="F488" s="36"/>
      <c r="G488" s="36"/>
      <c r="H488" s="36"/>
      <c r="I488" s="40"/>
      <c r="J488" s="36"/>
      <c r="K488" s="36"/>
      <c r="L488" s="36"/>
      <c r="M488" s="46" t="str">
        <f>IF(G491="","",J133)</f>
        <v/>
      </c>
      <c r="N488" s="20"/>
    </row>
    <row r="489" spans="1:14" ht="45" customHeight="1" x14ac:dyDescent="0.3">
      <c r="A489" s="21"/>
      <c r="B489" s="36"/>
      <c r="C489" s="215" t="str">
        <f>IF(C133="","Honoring invitee's expressed need",CONCATENATE("Honoring ",C133,"'s expressed need"))</f>
        <v>Honoring invitee's expressed need</v>
      </c>
      <c r="D489" s="215"/>
      <c r="E489" s="216"/>
      <c r="F489" s="185"/>
      <c r="G489" s="186"/>
      <c r="H489" s="186"/>
      <c r="I489" s="186"/>
      <c r="J489" s="186"/>
      <c r="K489" s="186"/>
      <c r="L489" s="186"/>
      <c r="M489" s="187"/>
      <c r="N489" s="20"/>
    </row>
    <row r="490" spans="1:14" ht="45" customHeight="1" x14ac:dyDescent="0.3">
      <c r="A490" s="21"/>
      <c r="B490" s="36"/>
      <c r="C490" s="226" t="str">
        <f>IF(C133="","Invitee's feedback to my efforts",CONCATENATE(C133,"'s feedback to my efforts"))</f>
        <v>Invitee's feedback to my efforts</v>
      </c>
      <c r="D490" s="226"/>
      <c r="E490" s="227"/>
      <c r="F490" s="185"/>
      <c r="G490" s="186"/>
      <c r="H490" s="186"/>
      <c r="I490" s="186"/>
      <c r="J490" s="186"/>
      <c r="K490" s="186"/>
      <c r="L490" s="186"/>
      <c r="M490" s="187"/>
      <c r="N490" s="20"/>
    </row>
    <row r="491" spans="1:14" ht="20" customHeight="1" x14ac:dyDescent="0.3">
      <c r="A491" s="21"/>
      <c r="B491" s="36"/>
      <c r="C491" s="188" t="str">
        <f>IF(C133="","Their satisfaction level ",CONCATENATE(C133,"'s satisfaction level "))</f>
        <v xml:space="preserve">Their satisfaction level </v>
      </c>
      <c r="D491" s="188"/>
      <c r="E491" s="188"/>
      <c r="F491" s="189"/>
      <c r="G491" s="190"/>
      <c r="H491" s="191"/>
      <c r="I491" s="192"/>
      <c r="J491" s="228" t="str">
        <f>IF(C133="","Their emotional response ",CONCATENATE(C133,"'s emotional response "))</f>
        <v xml:space="preserve">Their emotional response </v>
      </c>
      <c r="K491" s="229"/>
      <c r="L491" s="230"/>
      <c r="M491" s="43"/>
      <c r="N491" s="20"/>
    </row>
    <row r="492" spans="1:14" ht="20" customHeight="1" x14ac:dyDescent="0.3">
      <c r="A492" s="21"/>
      <c r="B492" s="36"/>
      <c r="C492" s="39"/>
      <c r="D492" s="39"/>
      <c r="E492" s="39"/>
      <c r="F492" s="39"/>
      <c r="G492" s="39"/>
      <c r="H492" s="39"/>
      <c r="I492" s="39"/>
      <c r="J492" s="39"/>
      <c r="K492" s="39"/>
      <c r="L492" s="39"/>
      <c r="M492" s="39"/>
      <c r="N492" s="20"/>
    </row>
    <row r="493" spans="1:14" ht="25" customHeight="1" x14ac:dyDescent="0.3">
      <c r="A493" s="21"/>
      <c r="B493" s="41" t="str">
        <f>IF(C133="","C.  My expressed need to ask this invitee",CONCATENATE("C.  My expressed need to ask ",C133))</f>
        <v>C.  My expressed need to ask this invitee</v>
      </c>
      <c r="C493" s="38"/>
      <c r="D493" s="38"/>
      <c r="E493" s="38"/>
      <c r="F493" s="37"/>
      <c r="G493" s="37"/>
      <c r="H493" s="37"/>
      <c r="I493" s="37"/>
      <c r="J493" s="37"/>
      <c r="K493" s="37"/>
      <c r="L493" s="37"/>
      <c r="M493" s="49" t="str">
        <f>IF(OR(G497="",M497=""),"",K133)</f>
        <v/>
      </c>
      <c r="N493" s="20"/>
    </row>
    <row r="494" spans="1:14" ht="45" customHeight="1" x14ac:dyDescent="0.3">
      <c r="A494" s="21"/>
      <c r="B494" s="52" t="s">
        <v>87</v>
      </c>
      <c r="C494" s="183" t="str">
        <f>IF(C133="","Affirming this invitee",CONCATENATE("Affirming ",C133))</f>
        <v>Affirming this invitee</v>
      </c>
      <c r="D494" s="183"/>
      <c r="E494" s="184"/>
      <c r="F494" s="185" t="s">
        <v>89</v>
      </c>
      <c r="G494" s="186"/>
      <c r="H494" s="186"/>
      <c r="I494" s="186"/>
      <c r="J494" s="186"/>
      <c r="K494" s="186"/>
      <c r="L494" s="186"/>
      <c r="M494" s="187"/>
      <c r="N494" s="20"/>
    </row>
    <row r="495" spans="1:14" ht="45" customHeight="1" x14ac:dyDescent="0.3">
      <c r="A495" s="21"/>
      <c r="B495" s="53" t="s">
        <v>88</v>
      </c>
      <c r="C495" s="183" t="str">
        <f>IF(C133="","My need this invitee could respect",CONCATENATE("My need ",C133," could respect"))</f>
        <v>My need this invitee could respect</v>
      </c>
      <c r="D495" s="183"/>
      <c r="E495" s="184"/>
      <c r="F495" s="185" t="s">
        <v>155</v>
      </c>
      <c r="G495" s="186"/>
      <c r="H495" s="186"/>
      <c r="I495" s="186"/>
      <c r="J495" s="186"/>
      <c r="K495" s="186"/>
      <c r="L495" s="186"/>
      <c r="M495" s="187"/>
      <c r="N495" s="20"/>
    </row>
    <row r="496" spans="1:14" ht="45" customHeight="1" x14ac:dyDescent="0.3">
      <c r="A496" s="21"/>
      <c r="B496" s="52" t="s">
        <v>87</v>
      </c>
      <c r="C496" s="183" t="str">
        <f>IF(C133="","Mutuality with this invitee",CONCATENATE("Mutuality with ",C133))</f>
        <v>Mutuality with this invitee</v>
      </c>
      <c r="D496" s="183"/>
      <c r="E496" s="184"/>
      <c r="F496" s="185" t="s">
        <v>90</v>
      </c>
      <c r="G496" s="186"/>
      <c r="H496" s="186"/>
      <c r="I496" s="186"/>
      <c r="J496" s="186"/>
      <c r="K496" s="186"/>
      <c r="L496" s="186"/>
      <c r="M496" s="187"/>
      <c r="N496" s="20"/>
    </row>
    <row r="497" spans="1:14" ht="20" customHeight="1" x14ac:dyDescent="0.3">
      <c r="A497" s="21"/>
      <c r="B497" s="36"/>
      <c r="C497" s="188" t="str">
        <f>IF(C133="","Their receptive level ",CONCATENATE(C133,"'s receptive level "))</f>
        <v xml:space="preserve">Their receptive level </v>
      </c>
      <c r="D497" s="188"/>
      <c r="E497" s="188"/>
      <c r="F497" s="189"/>
      <c r="G497" s="190"/>
      <c r="H497" s="191"/>
      <c r="I497" s="192"/>
      <c r="J497" s="193" t="str">
        <f>IF(C133="","Their responsiveness ",CONCATENATE(C133,"'s responsiveness "))</f>
        <v xml:space="preserve">Their responsiveness </v>
      </c>
      <c r="K497" s="194"/>
      <c r="L497" s="195"/>
      <c r="M497" s="51"/>
      <c r="N497" s="20"/>
    </row>
    <row r="498" spans="1:14" ht="20" customHeight="1" x14ac:dyDescent="0.3">
      <c r="A498" s="21"/>
      <c r="B498" s="36"/>
      <c r="C498" s="22"/>
      <c r="D498" s="22"/>
      <c r="E498" s="22"/>
      <c r="F498" s="22"/>
      <c r="G498" s="22"/>
      <c r="H498" s="22"/>
      <c r="I498" s="22"/>
      <c r="J498" s="22"/>
      <c r="K498" s="22"/>
      <c r="L498" s="22"/>
      <c r="M498" s="22"/>
      <c r="N498" s="20"/>
    </row>
    <row r="499" spans="1:14" ht="25" customHeight="1" x14ac:dyDescent="0.3">
      <c r="A499" s="21"/>
      <c r="B499" s="41" t="str">
        <f>IF(C133="","D.  Interest in my potential wellness campaign",CONCATENATE("D.  ",C133,"'s interest in my potential wellness campaign"))</f>
        <v>D.  Interest in my potential wellness campaign</v>
      </c>
      <c r="C499" s="39"/>
      <c r="D499" s="39"/>
      <c r="E499" s="39"/>
      <c r="F499" s="39"/>
      <c r="G499" s="39"/>
      <c r="H499" s="39"/>
      <c r="I499" s="39"/>
      <c r="J499" s="39"/>
      <c r="K499" s="39"/>
      <c r="L499" s="39"/>
      <c r="M499" s="49" t="str">
        <f>IF(OR(C502="",I502="",L502=""),"",L133)</f>
        <v/>
      </c>
      <c r="N499" s="20"/>
    </row>
    <row r="500" spans="1:14" ht="20" customHeight="1" x14ac:dyDescent="0.3">
      <c r="A500" s="21"/>
      <c r="B500" s="36"/>
      <c r="C500" s="39"/>
      <c r="D500" s="39"/>
      <c r="E500" s="50" t="s">
        <v>96</v>
      </c>
      <c r="F500" s="196" t="str">
        <f>IF(F476="","",F476)</f>
        <v/>
      </c>
      <c r="G500" s="197"/>
      <c r="H500" s="197"/>
      <c r="I500" s="197"/>
      <c r="J500" s="197"/>
      <c r="K500" s="197"/>
      <c r="L500" s="197"/>
      <c r="M500" s="198"/>
      <c r="N500" s="20"/>
    </row>
    <row r="501" spans="1:14" ht="20" customHeight="1" x14ac:dyDescent="0.3">
      <c r="A501" s="21"/>
      <c r="B501" s="36"/>
      <c r="C501" s="24" t="s">
        <v>22</v>
      </c>
      <c r="D501" s="24"/>
      <c r="E501" s="42" t="s">
        <v>25</v>
      </c>
      <c r="F501" s="34" t="s">
        <v>24</v>
      </c>
      <c r="G501" s="34"/>
      <c r="H501" s="34" t="s">
        <v>30</v>
      </c>
      <c r="I501" s="24" t="s">
        <v>23</v>
      </c>
      <c r="J501" s="24"/>
      <c r="K501" s="24"/>
      <c r="L501" s="199" t="s">
        <v>29</v>
      </c>
      <c r="M501" s="199"/>
      <c r="N501" s="20"/>
    </row>
    <row r="502" spans="1:14" ht="20" customHeight="1" x14ac:dyDescent="0.3">
      <c r="A502" s="21"/>
      <c r="B502" s="36"/>
      <c r="C502" s="200"/>
      <c r="D502" s="201"/>
      <c r="E502" s="33"/>
      <c r="F502" s="200"/>
      <c r="G502" s="202"/>
      <c r="H502" s="33"/>
      <c r="I502" s="200"/>
      <c r="J502" s="201"/>
      <c r="K502" s="43"/>
      <c r="L502" s="203"/>
      <c r="M502" s="204"/>
      <c r="N502" s="20"/>
    </row>
    <row r="503" spans="1:14" ht="20" customHeight="1" x14ac:dyDescent="0.3">
      <c r="A503" s="21"/>
      <c r="B503" s="36"/>
      <c r="C503" s="39"/>
      <c r="D503" s="39"/>
      <c r="E503" s="39"/>
      <c r="F503" s="39"/>
      <c r="G503" s="39"/>
      <c r="H503" s="179" t="str">
        <f>AI1091</f>
        <v/>
      </c>
      <c r="I503" s="179"/>
      <c r="J503" s="179"/>
      <c r="K503" s="179"/>
      <c r="L503" s="179"/>
      <c r="M503" s="179" t="str">
        <f>IF(C482="","","your progress with THIS INVITEE")</f>
        <v/>
      </c>
      <c r="N503" s="20"/>
    </row>
    <row r="504" spans="1:14" ht="30" customHeight="1" x14ac:dyDescent="0.3">
      <c r="A504" s="47"/>
      <c r="B504" s="123">
        <v>16</v>
      </c>
      <c r="C504" s="182" t="str">
        <f>IF(C134="","Invitee 16",CONCATENATE(C134," ",F134))</f>
        <v>Invitee 16</v>
      </c>
      <c r="D504" s="182"/>
      <c r="E504" s="182"/>
      <c r="F504" s="182"/>
      <c r="G504" s="182"/>
      <c r="H504" s="182"/>
      <c r="I504" s="182"/>
      <c r="J504" s="182"/>
      <c r="K504" s="182"/>
      <c r="L504" s="206">
        <f>M134</f>
        <v>0</v>
      </c>
      <c r="M504" s="206"/>
      <c r="N504" s="48"/>
    </row>
    <row r="505" spans="1:14" ht="20" customHeight="1" x14ac:dyDescent="0.3">
      <c r="A505" s="21"/>
      <c r="B505" s="24"/>
      <c r="C505" s="56" t="s">
        <v>104</v>
      </c>
      <c r="D505" s="56"/>
      <c r="E505" s="57"/>
      <c r="F505" s="83" t="s">
        <v>105</v>
      </c>
      <c r="G505" s="56"/>
      <c r="H505" s="56"/>
      <c r="I505" s="83" t="s">
        <v>106</v>
      </c>
      <c r="J505" s="83"/>
      <c r="K505" s="83"/>
      <c r="L505" s="56" t="s">
        <v>107</v>
      </c>
      <c r="M505" s="56"/>
      <c r="N505" s="20"/>
    </row>
    <row r="506" spans="1:14" ht="20" customHeight="1" x14ac:dyDescent="0.3">
      <c r="A506" s="21"/>
      <c r="B506" s="24"/>
      <c r="C506" s="218"/>
      <c r="D506" s="219"/>
      <c r="E506" s="220"/>
      <c r="F506" s="221"/>
      <c r="G506" s="222"/>
      <c r="H506" s="223"/>
      <c r="I506" s="224"/>
      <c r="J506" s="225"/>
      <c r="K506" s="225"/>
      <c r="L506" s="218"/>
      <c r="M506" s="220"/>
      <c r="N506" s="20"/>
    </row>
    <row r="507" spans="1:14" ht="20" customHeight="1" x14ac:dyDescent="0.3">
      <c r="A507" s="21"/>
      <c r="B507" s="41" t="str">
        <f>IF(C134="","A.  Inviting contact to express their need",CONCATENATE("A.  Inviting ",C134," to express their need"))</f>
        <v>A.  Inviting contact to express their need</v>
      </c>
      <c r="C507" s="36"/>
      <c r="D507" s="36"/>
      <c r="E507" s="36"/>
      <c r="F507" s="36"/>
      <c r="G507" s="36"/>
      <c r="H507" s="36"/>
      <c r="I507" s="40"/>
      <c r="J507" s="36"/>
      <c r="K507" s="36"/>
      <c r="L507" s="36"/>
      <c r="M507" s="46" t="str">
        <f>IF(OR(L509="",K511=""),"",I134)</f>
        <v/>
      </c>
      <c r="N507" s="20"/>
    </row>
    <row r="508" spans="1:14" ht="20" customHeight="1" x14ac:dyDescent="0.3">
      <c r="A508" s="21"/>
      <c r="B508" s="41"/>
      <c r="C508" s="24" t="s">
        <v>22</v>
      </c>
      <c r="D508" s="24"/>
      <c r="E508" s="42" t="s">
        <v>25</v>
      </c>
      <c r="F508" s="34" t="s">
        <v>24</v>
      </c>
      <c r="G508" s="34"/>
      <c r="H508" s="34" t="s">
        <v>30</v>
      </c>
      <c r="I508" s="24" t="s">
        <v>23</v>
      </c>
      <c r="J508" s="24"/>
      <c r="K508" s="24"/>
      <c r="L508" s="231" t="s">
        <v>29</v>
      </c>
      <c r="M508" s="231"/>
      <c r="N508" s="20"/>
    </row>
    <row r="509" spans="1:14" ht="20" customHeight="1" x14ac:dyDescent="0.3">
      <c r="A509" s="21"/>
      <c r="B509" s="23"/>
      <c r="C509" s="200"/>
      <c r="D509" s="201"/>
      <c r="E509" s="33"/>
      <c r="F509" s="200"/>
      <c r="G509" s="201"/>
      <c r="H509" s="33"/>
      <c r="I509" s="200"/>
      <c r="J509" s="201"/>
      <c r="K509" s="43"/>
      <c r="L509" s="203"/>
      <c r="M509" s="204"/>
      <c r="N509" s="20"/>
    </row>
    <row r="510" spans="1:14" ht="60" customHeight="1" x14ac:dyDescent="0.3">
      <c r="A510" s="21"/>
      <c r="B510" s="36"/>
      <c r="C510" s="207" t="str">
        <f>IF(C134="", "Their expressed need:",CONCATENATE(C134,"'s expressed need:"))</f>
        <v>Their expressed need:</v>
      </c>
      <c r="D510" s="208"/>
      <c r="E510" s="209"/>
      <c r="F510" s="210"/>
      <c r="G510" s="210"/>
      <c r="H510" s="210"/>
      <c r="I510" s="210"/>
      <c r="J510" s="210"/>
      <c r="K510" s="210"/>
      <c r="L510" s="210"/>
      <c r="M510" s="211"/>
      <c r="N510" s="20"/>
    </row>
    <row r="511" spans="1:14" ht="20" customHeight="1" x14ac:dyDescent="0.3">
      <c r="A511" s="21"/>
      <c r="B511" s="36"/>
      <c r="C511" s="25"/>
      <c r="D511" s="45" t="s">
        <v>73</v>
      </c>
      <c r="E511" s="212"/>
      <c r="F511" s="213"/>
      <c r="G511" s="213"/>
      <c r="H511" s="214"/>
      <c r="I511" s="25"/>
      <c r="J511" s="44" t="s">
        <v>72</v>
      </c>
      <c r="K511" s="212"/>
      <c r="L511" s="213"/>
      <c r="M511" s="214"/>
      <c r="N511" s="20"/>
    </row>
    <row r="512" spans="1:14" ht="25" customHeight="1" x14ac:dyDescent="0.3">
      <c r="A512" s="21"/>
      <c r="B512" s="41" t="str">
        <f>IF(C134="","B.  Honoring invitee's expressed need",CONCATENATE("B.  Honoring ",C134,"'s expressed need"))</f>
        <v>B.  Honoring invitee's expressed need</v>
      </c>
      <c r="C512" s="36"/>
      <c r="D512" s="36"/>
      <c r="E512" s="36"/>
      <c r="F512" s="36"/>
      <c r="G512" s="36"/>
      <c r="H512" s="36"/>
      <c r="I512" s="40"/>
      <c r="J512" s="36"/>
      <c r="K512" s="36"/>
      <c r="L512" s="36"/>
      <c r="M512" s="46" t="str">
        <f>IF(G515="","",J134)</f>
        <v/>
      </c>
      <c r="N512" s="20"/>
    </row>
    <row r="513" spans="1:14" ht="45" customHeight="1" x14ac:dyDescent="0.3">
      <c r="A513" s="21"/>
      <c r="B513" s="36"/>
      <c r="C513" s="215" t="str">
        <f>IF(C134="","Honoring invitee's expressed need",CONCATENATE("Honoring ",C134,"'s expressed need"))</f>
        <v>Honoring invitee's expressed need</v>
      </c>
      <c r="D513" s="215"/>
      <c r="E513" s="216"/>
      <c r="F513" s="185"/>
      <c r="G513" s="186"/>
      <c r="H513" s="186"/>
      <c r="I513" s="186"/>
      <c r="J513" s="186"/>
      <c r="K513" s="186"/>
      <c r="L513" s="186"/>
      <c r="M513" s="187"/>
      <c r="N513" s="20"/>
    </row>
    <row r="514" spans="1:14" ht="45" customHeight="1" x14ac:dyDescent="0.3">
      <c r="A514" s="21"/>
      <c r="B514" s="36"/>
      <c r="C514" s="226" t="str">
        <f>IF(C134="","Invitee's feedback to my efforts",CONCATENATE(C134,"'s feedback to my efforts"))</f>
        <v>Invitee's feedback to my efforts</v>
      </c>
      <c r="D514" s="226"/>
      <c r="E514" s="227"/>
      <c r="F514" s="185"/>
      <c r="G514" s="186"/>
      <c r="H514" s="186"/>
      <c r="I514" s="186"/>
      <c r="J514" s="186"/>
      <c r="K514" s="186"/>
      <c r="L514" s="186"/>
      <c r="M514" s="187"/>
      <c r="N514" s="20"/>
    </row>
    <row r="515" spans="1:14" ht="20" customHeight="1" x14ac:dyDescent="0.3">
      <c r="A515" s="21"/>
      <c r="B515" s="36"/>
      <c r="C515" s="188" t="str">
        <f>IF(C134="","Their satisfaction level ",CONCATENATE(C134,"'s satisfaction level "))</f>
        <v xml:space="preserve">Their satisfaction level </v>
      </c>
      <c r="D515" s="188"/>
      <c r="E515" s="188"/>
      <c r="F515" s="189"/>
      <c r="G515" s="190"/>
      <c r="H515" s="191"/>
      <c r="I515" s="192"/>
      <c r="J515" s="228" t="str">
        <f>IF(C134="","Their emotional response ",CONCATENATE(C134,"'s emotional response "))</f>
        <v xml:space="preserve">Their emotional response </v>
      </c>
      <c r="K515" s="229"/>
      <c r="L515" s="230"/>
      <c r="M515" s="43"/>
      <c r="N515" s="20"/>
    </row>
    <row r="516" spans="1:14" ht="20" customHeight="1" x14ac:dyDescent="0.3">
      <c r="A516" s="21"/>
      <c r="B516" s="36"/>
      <c r="C516" s="39"/>
      <c r="D516" s="39"/>
      <c r="E516" s="39"/>
      <c r="F516" s="39"/>
      <c r="G516" s="39"/>
      <c r="H516" s="39"/>
      <c r="I516" s="39"/>
      <c r="J516" s="39"/>
      <c r="K516" s="39"/>
      <c r="L516" s="39"/>
      <c r="M516" s="39"/>
      <c r="N516" s="20"/>
    </row>
    <row r="517" spans="1:14" ht="25" customHeight="1" x14ac:dyDescent="0.3">
      <c r="A517" s="21"/>
      <c r="B517" s="41" t="str">
        <f>IF(C134="","C.  My expressed need to ask this invitee",CONCATENATE("C.  My expressed need to ask ",C134))</f>
        <v>C.  My expressed need to ask this invitee</v>
      </c>
      <c r="C517" s="38"/>
      <c r="D517" s="38"/>
      <c r="E517" s="38"/>
      <c r="F517" s="37"/>
      <c r="G517" s="37"/>
      <c r="H517" s="37"/>
      <c r="I517" s="37"/>
      <c r="J517" s="37"/>
      <c r="K517" s="37"/>
      <c r="L517" s="37"/>
      <c r="M517" s="49" t="str">
        <f>IF(OR(G521="",M521=""),"",K134)</f>
        <v/>
      </c>
      <c r="N517" s="20"/>
    </row>
    <row r="518" spans="1:14" ht="45" customHeight="1" x14ac:dyDescent="0.3">
      <c r="A518" s="21"/>
      <c r="B518" s="52" t="s">
        <v>87</v>
      </c>
      <c r="C518" s="183" t="str">
        <f>IF(C134="","Affirming this invitee",CONCATENATE("Affirming ",C134))</f>
        <v>Affirming this invitee</v>
      </c>
      <c r="D518" s="183"/>
      <c r="E518" s="184"/>
      <c r="F518" s="185" t="s">
        <v>89</v>
      </c>
      <c r="G518" s="186"/>
      <c r="H518" s="186"/>
      <c r="I518" s="186"/>
      <c r="J518" s="186"/>
      <c r="K518" s="186"/>
      <c r="L518" s="186"/>
      <c r="M518" s="187"/>
      <c r="N518" s="20"/>
    </row>
    <row r="519" spans="1:14" ht="45" customHeight="1" x14ac:dyDescent="0.3">
      <c r="A519" s="21"/>
      <c r="B519" s="53" t="s">
        <v>88</v>
      </c>
      <c r="C519" s="183" t="str">
        <f>IF(C134="","My need this invitee could respect",CONCATENATE("My need ",C134," could respect"))</f>
        <v>My need this invitee could respect</v>
      </c>
      <c r="D519" s="183"/>
      <c r="E519" s="184"/>
      <c r="F519" s="185" t="s">
        <v>155</v>
      </c>
      <c r="G519" s="186"/>
      <c r="H519" s="186"/>
      <c r="I519" s="186"/>
      <c r="J519" s="186"/>
      <c r="K519" s="186"/>
      <c r="L519" s="186"/>
      <c r="M519" s="187"/>
      <c r="N519" s="20"/>
    </row>
    <row r="520" spans="1:14" ht="45" customHeight="1" x14ac:dyDescent="0.3">
      <c r="A520" s="21"/>
      <c r="B520" s="52" t="s">
        <v>87</v>
      </c>
      <c r="C520" s="183" t="str">
        <f>IF(C134="","Mutuality with this invitee",CONCATENATE("Mutuality with ",C134))</f>
        <v>Mutuality with this invitee</v>
      </c>
      <c r="D520" s="183"/>
      <c r="E520" s="184"/>
      <c r="F520" s="185" t="s">
        <v>90</v>
      </c>
      <c r="G520" s="186"/>
      <c r="H520" s="186"/>
      <c r="I520" s="186"/>
      <c r="J520" s="186"/>
      <c r="K520" s="186"/>
      <c r="L520" s="186"/>
      <c r="M520" s="187"/>
      <c r="N520" s="20"/>
    </row>
    <row r="521" spans="1:14" ht="20" customHeight="1" x14ac:dyDescent="0.3">
      <c r="A521" s="21"/>
      <c r="B521" s="36"/>
      <c r="C521" s="188" t="str">
        <f>IF(C134="","Their receptive level ",CONCATENATE(C134,"'s receptive level "))</f>
        <v xml:space="preserve">Their receptive level </v>
      </c>
      <c r="D521" s="188"/>
      <c r="E521" s="188"/>
      <c r="F521" s="189"/>
      <c r="G521" s="190"/>
      <c r="H521" s="191"/>
      <c r="I521" s="192"/>
      <c r="J521" s="193" t="str">
        <f>IF(C134="","Their responsiveness ",CONCATENATE(C134,"'s responsiveness "))</f>
        <v xml:space="preserve">Their responsiveness </v>
      </c>
      <c r="K521" s="194"/>
      <c r="L521" s="195"/>
      <c r="M521" s="51"/>
      <c r="N521" s="20"/>
    </row>
    <row r="522" spans="1:14" ht="20" customHeight="1" x14ac:dyDescent="0.3">
      <c r="A522" s="21"/>
      <c r="B522" s="36"/>
      <c r="C522" s="22"/>
      <c r="D522" s="22"/>
      <c r="E522" s="22"/>
      <c r="F522" s="22"/>
      <c r="G522" s="22"/>
      <c r="H522" s="22"/>
      <c r="I522" s="22"/>
      <c r="J522" s="22"/>
      <c r="K522" s="22"/>
      <c r="L522" s="22"/>
      <c r="M522" s="22"/>
      <c r="N522" s="20"/>
    </row>
    <row r="523" spans="1:14" ht="25" customHeight="1" x14ac:dyDescent="0.3">
      <c r="A523" s="21"/>
      <c r="B523" s="41" t="str">
        <f>IF(C134="","D.  Interest in my potential wellness campaign",CONCATENATE("D.  ",C134,"'s interest in my potential wellness campaign"))</f>
        <v>D.  Interest in my potential wellness campaign</v>
      </c>
      <c r="C523" s="39"/>
      <c r="D523" s="39"/>
      <c r="E523" s="39"/>
      <c r="F523" s="39"/>
      <c r="G523" s="39"/>
      <c r="H523" s="39"/>
      <c r="I523" s="39"/>
      <c r="J523" s="39"/>
      <c r="K523" s="39"/>
      <c r="L523" s="39"/>
      <c r="M523" s="49" t="str">
        <f>IF(OR(C526="",I526="",L526=""),"",L134)</f>
        <v/>
      </c>
      <c r="N523" s="20"/>
    </row>
    <row r="524" spans="1:14" ht="20" customHeight="1" x14ac:dyDescent="0.3">
      <c r="A524" s="21"/>
      <c r="B524" s="36"/>
      <c r="C524" s="39"/>
      <c r="D524" s="39"/>
      <c r="E524" s="50" t="s">
        <v>96</v>
      </c>
      <c r="F524" s="196" t="str">
        <f>IF(413="","",F500)</f>
        <v/>
      </c>
      <c r="G524" s="197"/>
      <c r="H524" s="197"/>
      <c r="I524" s="197"/>
      <c r="J524" s="197"/>
      <c r="K524" s="197"/>
      <c r="L524" s="197"/>
      <c r="M524" s="198"/>
      <c r="N524" s="20"/>
    </row>
    <row r="525" spans="1:14" ht="20" customHeight="1" x14ac:dyDescent="0.3">
      <c r="A525" s="21"/>
      <c r="B525" s="36"/>
      <c r="C525" s="24" t="s">
        <v>22</v>
      </c>
      <c r="D525" s="24"/>
      <c r="E525" s="42" t="s">
        <v>25</v>
      </c>
      <c r="F525" s="34" t="s">
        <v>24</v>
      </c>
      <c r="G525" s="34"/>
      <c r="H525" s="34" t="s">
        <v>30</v>
      </c>
      <c r="I525" s="24" t="s">
        <v>23</v>
      </c>
      <c r="J525" s="24"/>
      <c r="K525" s="24"/>
      <c r="L525" s="199" t="s">
        <v>29</v>
      </c>
      <c r="M525" s="199"/>
      <c r="N525" s="20"/>
    </row>
    <row r="526" spans="1:14" ht="20" customHeight="1" x14ac:dyDescent="0.3">
      <c r="A526" s="21"/>
      <c r="B526" s="36"/>
      <c r="C526" s="200"/>
      <c r="D526" s="201"/>
      <c r="E526" s="33"/>
      <c r="F526" s="200"/>
      <c r="G526" s="202"/>
      <c r="H526" s="33"/>
      <c r="I526" s="200"/>
      <c r="J526" s="201"/>
      <c r="K526" s="43"/>
      <c r="L526" s="203"/>
      <c r="M526" s="204"/>
      <c r="N526" s="20"/>
    </row>
    <row r="527" spans="1:14" ht="20" customHeight="1" x14ac:dyDescent="0.3">
      <c r="A527" s="21"/>
      <c r="B527" s="36"/>
      <c r="C527" s="39"/>
      <c r="D527" s="39"/>
      <c r="E527" s="39"/>
      <c r="F527" s="39"/>
      <c r="G527" s="39"/>
      <c r="H527" s="179" t="str">
        <f>AI1092</f>
        <v/>
      </c>
      <c r="I527" s="179"/>
      <c r="J527" s="179"/>
      <c r="K527" s="179"/>
      <c r="L527" s="179"/>
      <c r="M527" s="179" t="str">
        <f>IF(C506="","","your progress with THIS INVITEE")</f>
        <v/>
      </c>
      <c r="N527" s="20"/>
    </row>
    <row r="528" spans="1:14" ht="30" customHeight="1" x14ac:dyDescent="0.3">
      <c r="A528" s="47"/>
      <c r="B528" s="123">
        <v>17</v>
      </c>
      <c r="C528" s="182" t="str">
        <f>IF(C135="","Invitee 17",CONCATENATE(C135," ",F135))</f>
        <v>Invitee 17</v>
      </c>
      <c r="D528" s="182"/>
      <c r="E528" s="182"/>
      <c r="F528" s="182"/>
      <c r="G528" s="182"/>
      <c r="H528" s="182"/>
      <c r="I528" s="182"/>
      <c r="J528" s="182"/>
      <c r="K528" s="182"/>
      <c r="L528" s="206">
        <f>M135</f>
        <v>0</v>
      </c>
      <c r="M528" s="206"/>
      <c r="N528" s="48"/>
    </row>
    <row r="529" spans="1:14" ht="20" customHeight="1" x14ac:dyDescent="0.3">
      <c r="A529" s="21"/>
      <c r="B529" s="24"/>
      <c r="C529" s="56" t="s">
        <v>104</v>
      </c>
      <c r="D529" s="56"/>
      <c r="E529" s="57"/>
      <c r="F529" s="83" t="s">
        <v>105</v>
      </c>
      <c r="G529" s="56"/>
      <c r="H529" s="56"/>
      <c r="I529" s="83" t="s">
        <v>106</v>
      </c>
      <c r="J529" s="83"/>
      <c r="K529" s="83"/>
      <c r="L529" s="56" t="s">
        <v>107</v>
      </c>
      <c r="M529" s="56"/>
      <c r="N529" s="20"/>
    </row>
    <row r="530" spans="1:14" ht="20" customHeight="1" x14ac:dyDescent="0.3">
      <c r="A530" s="21"/>
      <c r="B530" s="24"/>
      <c r="C530" s="218"/>
      <c r="D530" s="219"/>
      <c r="E530" s="220"/>
      <c r="F530" s="221"/>
      <c r="G530" s="222"/>
      <c r="H530" s="223"/>
      <c r="I530" s="224"/>
      <c r="J530" s="225"/>
      <c r="K530" s="225"/>
      <c r="L530" s="218"/>
      <c r="M530" s="220"/>
      <c r="N530" s="20"/>
    </row>
    <row r="531" spans="1:14" ht="20" customHeight="1" x14ac:dyDescent="0.3">
      <c r="A531" s="21"/>
      <c r="B531" s="41" t="str">
        <f>IF(C135="","A.  Inviting contact to express their need",CONCATENATE("A.  Inviting ",C135," to express their need"))</f>
        <v>A.  Inviting contact to express their need</v>
      </c>
      <c r="C531" s="36"/>
      <c r="D531" s="36"/>
      <c r="E531" s="36"/>
      <c r="F531" s="36"/>
      <c r="G531" s="36"/>
      <c r="H531" s="36"/>
      <c r="I531" s="40"/>
      <c r="J531" s="36"/>
      <c r="K531" s="36"/>
      <c r="L531" s="36"/>
      <c r="M531" s="46" t="str">
        <f>IF(OR(L533="",K535=""),"",I135)</f>
        <v/>
      </c>
      <c r="N531" s="20"/>
    </row>
    <row r="532" spans="1:14" ht="20" customHeight="1" x14ac:dyDescent="0.3">
      <c r="A532" s="21"/>
      <c r="B532" s="41"/>
      <c r="C532" s="24" t="s">
        <v>22</v>
      </c>
      <c r="D532" s="24"/>
      <c r="E532" s="42" t="s">
        <v>25</v>
      </c>
      <c r="F532" s="34" t="s">
        <v>24</v>
      </c>
      <c r="G532" s="34"/>
      <c r="H532" s="34" t="s">
        <v>30</v>
      </c>
      <c r="I532" s="24" t="s">
        <v>23</v>
      </c>
      <c r="J532" s="24"/>
      <c r="K532" s="24"/>
      <c r="L532" s="231" t="s">
        <v>29</v>
      </c>
      <c r="M532" s="231"/>
      <c r="N532" s="20"/>
    </row>
    <row r="533" spans="1:14" ht="20" customHeight="1" x14ac:dyDescent="0.3">
      <c r="A533" s="21"/>
      <c r="B533" s="23"/>
      <c r="C533" s="200"/>
      <c r="D533" s="201"/>
      <c r="E533" s="33"/>
      <c r="F533" s="200"/>
      <c r="G533" s="201"/>
      <c r="H533" s="33"/>
      <c r="I533" s="200"/>
      <c r="J533" s="201"/>
      <c r="K533" s="43"/>
      <c r="L533" s="203"/>
      <c r="M533" s="204"/>
      <c r="N533" s="20"/>
    </row>
    <row r="534" spans="1:14" ht="60" customHeight="1" x14ac:dyDescent="0.3">
      <c r="A534" s="21"/>
      <c r="B534" s="36"/>
      <c r="C534" s="207" t="str">
        <f>IF(C135="", "Their expressed need:",CONCATENATE(C135,"'s expressed need:"))</f>
        <v>Their expressed need:</v>
      </c>
      <c r="D534" s="208"/>
      <c r="E534" s="209"/>
      <c r="F534" s="210"/>
      <c r="G534" s="210"/>
      <c r="H534" s="210"/>
      <c r="I534" s="210"/>
      <c r="J534" s="210"/>
      <c r="K534" s="210"/>
      <c r="L534" s="210"/>
      <c r="M534" s="211"/>
      <c r="N534" s="20"/>
    </row>
    <row r="535" spans="1:14" ht="20" customHeight="1" x14ac:dyDescent="0.3">
      <c r="A535" s="21"/>
      <c r="B535" s="36"/>
      <c r="C535" s="25"/>
      <c r="D535" s="45" t="s">
        <v>73</v>
      </c>
      <c r="E535" s="212"/>
      <c r="F535" s="213"/>
      <c r="G535" s="213"/>
      <c r="H535" s="214"/>
      <c r="I535" s="25"/>
      <c r="J535" s="44" t="s">
        <v>72</v>
      </c>
      <c r="K535" s="212"/>
      <c r="L535" s="213"/>
      <c r="M535" s="214"/>
      <c r="N535" s="20"/>
    </row>
    <row r="536" spans="1:14" ht="25" customHeight="1" x14ac:dyDescent="0.3">
      <c r="A536" s="21"/>
      <c r="B536" s="41" t="str">
        <f>IF(C135="","B.  Honoring invitee's expressed need",CONCATENATE("B.  Honoring ",C135,"'s expressed need"))</f>
        <v>B.  Honoring invitee's expressed need</v>
      </c>
      <c r="C536" s="36"/>
      <c r="D536" s="36"/>
      <c r="E536" s="36"/>
      <c r="F536" s="36"/>
      <c r="G536" s="36"/>
      <c r="H536" s="36"/>
      <c r="I536" s="40"/>
      <c r="J536" s="36"/>
      <c r="K536" s="36"/>
      <c r="L536" s="36"/>
      <c r="M536" s="46" t="str">
        <f>IF(G539="","",J135)</f>
        <v/>
      </c>
      <c r="N536" s="20"/>
    </row>
    <row r="537" spans="1:14" ht="45" customHeight="1" x14ac:dyDescent="0.3">
      <c r="A537" s="21"/>
      <c r="B537" s="36"/>
      <c r="C537" s="215" t="str">
        <f>IF(C135="","Honoring invitee's expressed need",CONCATENATE("Honoring ",C135,"'s expressed need"))</f>
        <v>Honoring invitee's expressed need</v>
      </c>
      <c r="D537" s="215"/>
      <c r="E537" s="216"/>
      <c r="F537" s="185"/>
      <c r="G537" s="186"/>
      <c r="H537" s="186"/>
      <c r="I537" s="186"/>
      <c r="J537" s="186"/>
      <c r="K537" s="186"/>
      <c r="L537" s="186"/>
      <c r="M537" s="187"/>
      <c r="N537" s="20"/>
    </row>
    <row r="538" spans="1:14" ht="45" customHeight="1" x14ac:dyDescent="0.3">
      <c r="A538" s="21"/>
      <c r="B538" s="36"/>
      <c r="C538" s="226" t="str">
        <f>IF(C135="","Invitee's feedback to my efforts",CONCATENATE(C135,"'s feedback to my efforts"))</f>
        <v>Invitee's feedback to my efforts</v>
      </c>
      <c r="D538" s="226"/>
      <c r="E538" s="227"/>
      <c r="F538" s="185"/>
      <c r="G538" s="186"/>
      <c r="H538" s="186"/>
      <c r="I538" s="186"/>
      <c r="J538" s="186"/>
      <c r="K538" s="186"/>
      <c r="L538" s="186"/>
      <c r="M538" s="187"/>
      <c r="N538" s="20"/>
    </row>
    <row r="539" spans="1:14" ht="20" customHeight="1" x14ac:dyDescent="0.3">
      <c r="A539" s="21"/>
      <c r="B539" s="36"/>
      <c r="C539" s="188" t="str">
        <f>IF(C135="","Their satisfaction level ",CONCATENATE(C135,"'s satisfaction level "))</f>
        <v xml:space="preserve">Their satisfaction level </v>
      </c>
      <c r="D539" s="188"/>
      <c r="E539" s="188"/>
      <c r="F539" s="189"/>
      <c r="G539" s="190"/>
      <c r="H539" s="191"/>
      <c r="I539" s="192"/>
      <c r="J539" s="228" t="str">
        <f>IF(C135="","Their emotional response ",CONCATENATE(C135,"'s emotional response "))</f>
        <v xml:space="preserve">Their emotional response </v>
      </c>
      <c r="K539" s="229"/>
      <c r="L539" s="230"/>
      <c r="M539" s="85"/>
      <c r="N539" s="20"/>
    </row>
    <row r="540" spans="1:14" ht="20" customHeight="1" x14ac:dyDescent="0.3">
      <c r="A540" s="21"/>
      <c r="B540" s="36"/>
      <c r="C540" s="39"/>
      <c r="D540" s="39"/>
      <c r="E540" s="39"/>
      <c r="F540" s="39"/>
      <c r="G540" s="39"/>
      <c r="H540" s="39"/>
      <c r="I540" s="39"/>
      <c r="J540" s="39"/>
      <c r="K540" s="39"/>
      <c r="L540" s="39"/>
      <c r="M540" s="39"/>
      <c r="N540" s="20"/>
    </row>
    <row r="541" spans="1:14" ht="25" customHeight="1" x14ac:dyDescent="0.3">
      <c r="A541" s="21"/>
      <c r="B541" s="41" t="str">
        <f>IF(C135="","C.  My expressed need to ask this invitee",CONCATENATE("C.  My expressed need to ask ",C135))</f>
        <v>C.  My expressed need to ask this invitee</v>
      </c>
      <c r="C541" s="38"/>
      <c r="D541" s="38"/>
      <c r="E541" s="38"/>
      <c r="F541" s="37"/>
      <c r="G541" s="37"/>
      <c r="H541" s="37"/>
      <c r="I541" s="37"/>
      <c r="J541" s="37"/>
      <c r="K541" s="37"/>
      <c r="L541" s="37"/>
      <c r="M541" s="49" t="str">
        <f>IF(OR(G545="",M545=""),"",K135)</f>
        <v/>
      </c>
      <c r="N541" s="20"/>
    </row>
    <row r="542" spans="1:14" ht="45" customHeight="1" x14ac:dyDescent="0.3">
      <c r="A542" s="21"/>
      <c r="B542" s="52" t="s">
        <v>87</v>
      </c>
      <c r="C542" s="183" t="str">
        <f>IF(C135="","Affirming this invitee",CONCATENATE("Affirming ",C135))</f>
        <v>Affirming this invitee</v>
      </c>
      <c r="D542" s="183"/>
      <c r="E542" s="184"/>
      <c r="F542" s="185" t="s">
        <v>89</v>
      </c>
      <c r="G542" s="186"/>
      <c r="H542" s="186"/>
      <c r="I542" s="186"/>
      <c r="J542" s="186"/>
      <c r="K542" s="186"/>
      <c r="L542" s="186"/>
      <c r="M542" s="187"/>
      <c r="N542" s="20"/>
    </row>
    <row r="543" spans="1:14" ht="45" customHeight="1" x14ac:dyDescent="0.3">
      <c r="A543" s="21"/>
      <c r="B543" s="53" t="s">
        <v>88</v>
      </c>
      <c r="C543" s="183" t="str">
        <f>IF(C135="","My need this invitee could respect",CONCATENATE("My need ",C135," could respect"))</f>
        <v>My need this invitee could respect</v>
      </c>
      <c r="D543" s="183"/>
      <c r="E543" s="184"/>
      <c r="F543" s="185" t="s">
        <v>155</v>
      </c>
      <c r="G543" s="186"/>
      <c r="H543" s="186"/>
      <c r="I543" s="186"/>
      <c r="J543" s="186"/>
      <c r="K543" s="186"/>
      <c r="L543" s="186"/>
      <c r="M543" s="187"/>
      <c r="N543" s="20"/>
    </row>
    <row r="544" spans="1:14" ht="45" customHeight="1" x14ac:dyDescent="0.3">
      <c r="A544" s="21"/>
      <c r="B544" s="52" t="s">
        <v>87</v>
      </c>
      <c r="C544" s="183" t="str">
        <f>IF(C135="","Mutuality with this invitee",CONCATENATE("Mutuality with ",C135))</f>
        <v>Mutuality with this invitee</v>
      </c>
      <c r="D544" s="183"/>
      <c r="E544" s="184"/>
      <c r="F544" s="185" t="s">
        <v>90</v>
      </c>
      <c r="G544" s="186"/>
      <c r="H544" s="186"/>
      <c r="I544" s="186"/>
      <c r="J544" s="186"/>
      <c r="K544" s="186"/>
      <c r="L544" s="186"/>
      <c r="M544" s="187"/>
      <c r="N544" s="20"/>
    </row>
    <row r="545" spans="1:14" ht="20" customHeight="1" x14ac:dyDescent="0.3">
      <c r="A545" s="21"/>
      <c r="B545" s="36"/>
      <c r="C545" s="188" t="str">
        <f>IF(C135="","Their receptive level ",CONCATENATE(C135,"'s receptive level "))</f>
        <v xml:space="preserve">Their receptive level </v>
      </c>
      <c r="D545" s="188"/>
      <c r="E545" s="188"/>
      <c r="F545" s="189"/>
      <c r="G545" s="190"/>
      <c r="H545" s="191"/>
      <c r="I545" s="192"/>
      <c r="J545" s="193" t="str">
        <f>IF(C135="","Their responsiveness ",CONCATENATE(C135,"'s responsiveness "))</f>
        <v xml:space="preserve">Their responsiveness </v>
      </c>
      <c r="K545" s="194"/>
      <c r="L545" s="195"/>
      <c r="M545" s="51"/>
      <c r="N545" s="20"/>
    </row>
    <row r="546" spans="1:14" ht="20" customHeight="1" x14ac:dyDescent="0.3">
      <c r="A546" s="21"/>
      <c r="B546" s="36"/>
      <c r="C546" s="22"/>
      <c r="D546" s="22"/>
      <c r="E546" s="22"/>
      <c r="F546" s="22"/>
      <c r="G546" s="22"/>
      <c r="H546" s="22"/>
      <c r="I546" s="22"/>
      <c r="J546" s="22"/>
      <c r="K546" s="22"/>
      <c r="L546" s="22"/>
      <c r="M546" s="22"/>
      <c r="N546" s="20"/>
    </row>
    <row r="547" spans="1:14" ht="25" customHeight="1" x14ac:dyDescent="0.3">
      <c r="A547" s="21"/>
      <c r="B547" s="41" t="str">
        <f>IF(C135="","D.  Interest in my potential wellness campaign",CONCATENATE("D.  ",C135,"'s interest in my potential wellness campaign"))</f>
        <v>D.  Interest in my potential wellness campaign</v>
      </c>
      <c r="C547" s="39"/>
      <c r="D547" s="39"/>
      <c r="E547" s="39"/>
      <c r="F547" s="39"/>
      <c r="G547" s="39"/>
      <c r="H547" s="39"/>
      <c r="I547" s="39"/>
      <c r="J547" s="39"/>
      <c r="K547" s="39"/>
      <c r="L547" s="39"/>
      <c r="M547" s="49" t="str">
        <f>IF(OR(C550="",I550="",L550=""),"",L135)</f>
        <v/>
      </c>
      <c r="N547" s="20"/>
    </row>
    <row r="548" spans="1:14" ht="20" customHeight="1" x14ac:dyDescent="0.3">
      <c r="A548" s="21"/>
      <c r="B548" s="36"/>
      <c r="C548" s="39"/>
      <c r="D548" s="39"/>
      <c r="E548" s="50" t="s">
        <v>96</v>
      </c>
      <c r="F548" s="196" t="str">
        <f>IF(437="","",F524)</f>
        <v/>
      </c>
      <c r="G548" s="197"/>
      <c r="H548" s="197"/>
      <c r="I548" s="197"/>
      <c r="J548" s="197"/>
      <c r="K548" s="197"/>
      <c r="L548" s="197"/>
      <c r="M548" s="198"/>
      <c r="N548" s="20"/>
    </row>
    <row r="549" spans="1:14" ht="20" customHeight="1" x14ac:dyDescent="0.3">
      <c r="A549" s="21"/>
      <c r="B549" s="36"/>
      <c r="C549" s="24" t="s">
        <v>22</v>
      </c>
      <c r="D549" s="24"/>
      <c r="E549" s="42" t="s">
        <v>25</v>
      </c>
      <c r="F549" s="34" t="s">
        <v>24</v>
      </c>
      <c r="G549" s="34"/>
      <c r="H549" s="34" t="s">
        <v>30</v>
      </c>
      <c r="I549" s="24" t="s">
        <v>23</v>
      </c>
      <c r="J549" s="24"/>
      <c r="K549" s="24"/>
      <c r="L549" s="199" t="s">
        <v>29</v>
      </c>
      <c r="M549" s="199"/>
      <c r="N549" s="20"/>
    </row>
    <row r="550" spans="1:14" ht="20" customHeight="1" x14ac:dyDescent="0.3">
      <c r="A550" s="21"/>
      <c r="B550" s="36"/>
      <c r="C550" s="200"/>
      <c r="D550" s="201"/>
      <c r="E550" s="33"/>
      <c r="F550" s="200"/>
      <c r="G550" s="202"/>
      <c r="H550" s="33"/>
      <c r="I550" s="200"/>
      <c r="J550" s="201"/>
      <c r="K550" s="43"/>
      <c r="L550" s="203"/>
      <c r="M550" s="204"/>
      <c r="N550" s="20"/>
    </row>
    <row r="551" spans="1:14" ht="20" customHeight="1" x14ac:dyDescent="0.3">
      <c r="A551" s="21"/>
      <c r="B551" s="36"/>
      <c r="C551" s="39"/>
      <c r="D551" s="39"/>
      <c r="E551" s="39"/>
      <c r="F551" s="39"/>
      <c r="G551" s="39"/>
      <c r="H551" s="179" t="str">
        <f>AI1093</f>
        <v/>
      </c>
      <c r="I551" s="179"/>
      <c r="J551" s="179"/>
      <c r="K551" s="179"/>
      <c r="L551" s="179"/>
      <c r="M551" s="179" t="str">
        <f>IF(C530="","","your progress with THIS INVITEE")</f>
        <v/>
      </c>
      <c r="N551" s="20"/>
    </row>
    <row r="552" spans="1:14" ht="30" customHeight="1" x14ac:dyDescent="0.3">
      <c r="A552" s="47"/>
      <c r="B552" s="123">
        <v>18</v>
      </c>
      <c r="C552" s="182" t="str">
        <f>IF(C136="","Invitee 18",CONCATENATE(C136," ",F136))</f>
        <v>Invitee 18</v>
      </c>
      <c r="D552" s="182"/>
      <c r="E552" s="182"/>
      <c r="F552" s="182"/>
      <c r="G552" s="182"/>
      <c r="H552" s="182"/>
      <c r="I552" s="182"/>
      <c r="J552" s="182"/>
      <c r="K552" s="182"/>
      <c r="L552" s="206">
        <f>M136</f>
        <v>0</v>
      </c>
      <c r="M552" s="206"/>
      <c r="N552" s="48"/>
    </row>
    <row r="553" spans="1:14" ht="20" customHeight="1" x14ac:dyDescent="0.3">
      <c r="A553" s="21"/>
      <c r="B553" s="24"/>
      <c r="C553" s="56" t="s">
        <v>104</v>
      </c>
      <c r="D553" s="56"/>
      <c r="E553" s="57"/>
      <c r="F553" s="83" t="s">
        <v>105</v>
      </c>
      <c r="G553" s="56"/>
      <c r="H553" s="56"/>
      <c r="I553" s="83" t="s">
        <v>106</v>
      </c>
      <c r="J553" s="83"/>
      <c r="K553" s="83"/>
      <c r="L553" s="56" t="s">
        <v>107</v>
      </c>
      <c r="M553" s="56"/>
      <c r="N553" s="20"/>
    </row>
    <row r="554" spans="1:14" ht="20" customHeight="1" x14ac:dyDescent="0.3">
      <c r="A554" s="21"/>
      <c r="B554" s="24"/>
      <c r="C554" s="218"/>
      <c r="D554" s="219"/>
      <c r="E554" s="220"/>
      <c r="F554" s="221"/>
      <c r="G554" s="222"/>
      <c r="H554" s="223"/>
      <c r="I554" s="224"/>
      <c r="J554" s="225"/>
      <c r="K554" s="225"/>
      <c r="L554" s="218"/>
      <c r="M554" s="220"/>
      <c r="N554" s="20"/>
    </row>
    <row r="555" spans="1:14" ht="20" customHeight="1" x14ac:dyDescent="0.3">
      <c r="A555" s="21"/>
      <c r="B555" s="41" t="str">
        <f>IF(C136="","A.  Inviting contact to express their need",CONCATENATE("A.  Inviting ",C136," to express their need"))</f>
        <v>A.  Inviting contact to express their need</v>
      </c>
      <c r="C555" s="36"/>
      <c r="D555" s="36"/>
      <c r="E555" s="36"/>
      <c r="F555" s="36"/>
      <c r="G555" s="36"/>
      <c r="H555" s="36"/>
      <c r="I555" s="40"/>
      <c r="J555" s="36"/>
      <c r="K555" s="36"/>
      <c r="L555" s="36"/>
      <c r="M555" s="46" t="str">
        <f>IF(OR(L557="",K559=""),"",I136)</f>
        <v/>
      </c>
      <c r="N555" s="20"/>
    </row>
    <row r="556" spans="1:14" ht="20" customHeight="1" x14ac:dyDescent="0.3">
      <c r="A556" s="21"/>
      <c r="B556" s="41"/>
      <c r="C556" s="24" t="s">
        <v>22</v>
      </c>
      <c r="D556" s="24"/>
      <c r="E556" s="42" t="s">
        <v>25</v>
      </c>
      <c r="F556" s="34" t="s">
        <v>24</v>
      </c>
      <c r="G556" s="34"/>
      <c r="H556" s="34" t="s">
        <v>30</v>
      </c>
      <c r="I556" s="24" t="s">
        <v>23</v>
      </c>
      <c r="J556" s="24"/>
      <c r="K556" s="24"/>
      <c r="L556" s="231" t="s">
        <v>29</v>
      </c>
      <c r="M556" s="231"/>
      <c r="N556" s="20"/>
    </row>
    <row r="557" spans="1:14" ht="20" customHeight="1" x14ac:dyDescent="0.3">
      <c r="A557" s="21"/>
      <c r="B557" s="23"/>
      <c r="C557" s="200"/>
      <c r="D557" s="201"/>
      <c r="E557" s="33"/>
      <c r="F557" s="200"/>
      <c r="G557" s="201"/>
      <c r="H557" s="33"/>
      <c r="I557" s="200"/>
      <c r="J557" s="201"/>
      <c r="K557" s="43"/>
      <c r="L557" s="203"/>
      <c r="M557" s="204"/>
      <c r="N557" s="20"/>
    </row>
    <row r="558" spans="1:14" ht="60" customHeight="1" x14ac:dyDescent="0.3">
      <c r="A558" s="21"/>
      <c r="B558" s="36"/>
      <c r="C558" s="207" t="str">
        <f>IF(C136="", "Their expressed need:",CONCATENATE(C136,"'s expressed need:"))</f>
        <v>Their expressed need:</v>
      </c>
      <c r="D558" s="208"/>
      <c r="E558" s="209"/>
      <c r="F558" s="210"/>
      <c r="G558" s="210"/>
      <c r="H558" s="210"/>
      <c r="I558" s="210"/>
      <c r="J558" s="210"/>
      <c r="K558" s="210"/>
      <c r="L558" s="210"/>
      <c r="M558" s="211"/>
      <c r="N558" s="20"/>
    </row>
    <row r="559" spans="1:14" ht="20" customHeight="1" x14ac:dyDescent="0.3">
      <c r="A559" s="21"/>
      <c r="B559" s="36"/>
      <c r="C559" s="25"/>
      <c r="D559" s="45" t="s">
        <v>73</v>
      </c>
      <c r="E559" s="212"/>
      <c r="F559" s="213"/>
      <c r="G559" s="213"/>
      <c r="H559" s="214"/>
      <c r="I559" s="25"/>
      <c r="J559" s="44" t="s">
        <v>72</v>
      </c>
      <c r="K559" s="212"/>
      <c r="L559" s="213"/>
      <c r="M559" s="214"/>
      <c r="N559" s="20"/>
    </row>
    <row r="560" spans="1:14" ht="25" customHeight="1" x14ac:dyDescent="0.3">
      <c r="A560" s="21"/>
      <c r="B560" s="41" t="str">
        <f>IF(C136="","B.  Honoring invitee's expressed need",CONCATENATE("B.  Honoring ",C136,"'s expressed need"))</f>
        <v>B.  Honoring invitee's expressed need</v>
      </c>
      <c r="C560" s="36"/>
      <c r="D560" s="36"/>
      <c r="E560" s="36"/>
      <c r="F560" s="36"/>
      <c r="G560" s="36"/>
      <c r="H560" s="36"/>
      <c r="I560" s="40"/>
      <c r="J560" s="36"/>
      <c r="K560" s="36"/>
      <c r="L560" s="36"/>
      <c r="M560" s="46" t="str">
        <f>IF(G563="","",J136)</f>
        <v/>
      </c>
      <c r="N560" s="20"/>
    </row>
    <row r="561" spans="1:14" ht="45" customHeight="1" x14ac:dyDescent="0.3">
      <c r="A561" s="21"/>
      <c r="B561" s="36"/>
      <c r="C561" s="215" t="str">
        <f>IF(C136="","Honoring invitee's expressed need",CONCATENATE("Honoring ",C136,"'s expressed need"))</f>
        <v>Honoring invitee's expressed need</v>
      </c>
      <c r="D561" s="215"/>
      <c r="E561" s="216"/>
      <c r="F561" s="185"/>
      <c r="G561" s="186"/>
      <c r="H561" s="186"/>
      <c r="I561" s="186"/>
      <c r="J561" s="186"/>
      <c r="K561" s="186"/>
      <c r="L561" s="186"/>
      <c r="M561" s="187"/>
      <c r="N561" s="20"/>
    </row>
    <row r="562" spans="1:14" ht="45" customHeight="1" x14ac:dyDescent="0.3">
      <c r="A562" s="21"/>
      <c r="B562" s="36"/>
      <c r="C562" s="226" t="str">
        <f>IF(C136="","Invitee's feedback to my efforts",CONCATENATE(C136,"'s feedback to my efforts"))</f>
        <v>Invitee's feedback to my efforts</v>
      </c>
      <c r="D562" s="226"/>
      <c r="E562" s="227"/>
      <c r="F562" s="185"/>
      <c r="G562" s="186"/>
      <c r="H562" s="186"/>
      <c r="I562" s="186"/>
      <c r="J562" s="186"/>
      <c r="K562" s="186"/>
      <c r="L562" s="186"/>
      <c r="M562" s="187"/>
      <c r="N562" s="20"/>
    </row>
    <row r="563" spans="1:14" ht="20" customHeight="1" x14ac:dyDescent="0.3">
      <c r="A563" s="21"/>
      <c r="B563" s="36"/>
      <c r="C563" s="188" t="str">
        <f>IF(C136="","Their satisfaction level ",CONCATENATE(C136,"'s satisfaction level "))</f>
        <v xml:space="preserve">Their satisfaction level </v>
      </c>
      <c r="D563" s="188"/>
      <c r="E563" s="188"/>
      <c r="F563" s="189"/>
      <c r="G563" s="190"/>
      <c r="H563" s="191"/>
      <c r="I563" s="192"/>
      <c r="J563" s="228" t="str">
        <f>IF(C136="","Their emotional response ",CONCATENATE(C136,"'s emotional response "))</f>
        <v xml:space="preserve">Their emotional response </v>
      </c>
      <c r="K563" s="229"/>
      <c r="L563" s="230"/>
      <c r="M563" s="43"/>
      <c r="N563" s="20"/>
    </row>
    <row r="564" spans="1:14" ht="20" customHeight="1" x14ac:dyDescent="0.3">
      <c r="A564" s="21"/>
      <c r="B564" s="36"/>
      <c r="C564" s="39"/>
      <c r="D564" s="39"/>
      <c r="E564" s="39"/>
      <c r="F564" s="39"/>
      <c r="G564" s="39"/>
      <c r="H564" s="39"/>
      <c r="I564" s="39"/>
      <c r="J564" s="39"/>
      <c r="K564" s="39"/>
      <c r="L564" s="39"/>
      <c r="M564" s="39"/>
      <c r="N564" s="20"/>
    </row>
    <row r="565" spans="1:14" ht="25" customHeight="1" x14ac:dyDescent="0.3">
      <c r="A565" s="21"/>
      <c r="B565" s="41" t="str">
        <f>IF(C136="","C.  My expressed need to ask this invitee",CONCATENATE("C.  My expressed need to ask ",C136))</f>
        <v>C.  My expressed need to ask this invitee</v>
      </c>
      <c r="C565" s="38"/>
      <c r="D565" s="38"/>
      <c r="E565" s="38"/>
      <c r="F565" s="37"/>
      <c r="G565" s="37"/>
      <c r="H565" s="37"/>
      <c r="I565" s="37"/>
      <c r="J565" s="37"/>
      <c r="K565" s="37"/>
      <c r="L565" s="37"/>
      <c r="M565" s="49" t="str">
        <f>IF(OR(G569="",M569=""),"",K136)</f>
        <v/>
      </c>
      <c r="N565" s="20"/>
    </row>
    <row r="566" spans="1:14" ht="45" customHeight="1" x14ac:dyDescent="0.3">
      <c r="A566" s="21"/>
      <c r="B566" s="52" t="s">
        <v>87</v>
      </c>
      <c r="C566" s="183" t="str">
        <f>IF(C136="","Affirming this invitee",CONCATENATE("Affirming ",C136))</f>
        <v>Affirming this invitee</v>
      </c>
      <c r="D566" s="183"/>
      <c r="E566" s="184"/>
      <c r="F566" s="185" t="s">
        <v>89</v>
      </c>
      <c r="G566" s="186"/>
      <c r="H566" s="186"/>
      <c r="I566" s="186"/>
      <c r="J566" s="186"/>
      <c r="K566" s="186"/>
      <c r="L566" s="186"/>
      <c r="M566" s="187"/>
      <c r="N566" s="20"/>
    </row>
    <row r="567" spans="1:14" ht="45" customHeight="1" x14ac:dyDescent="0.3">
      <c r="A567" s="21"/>
      <c r="B567" s="53" t="s">
        <v>88</v>
      </c>
      <c r="C567" s="183" t="str">
        <f>IF(C136="","My need this invitee could respect",CONCATENATE("My need ",C136," could respect"))</f>
        <v>My need this invitee could respect</v>
      </c>
      <c r="D567" s="183"/>
      <c r="E567" s="184"/>
      <c r="F567" s="185" t="s">
        <v>155</v>
      </c>
      <c r="G567" s="186"/>
      <c r="H567" s="186"/>
      <c r="I567" s="186"/>
      <c r="J567" s="186"/>
      <c r="K567" s="186"/>
      <c r="L567" s="186"/>
      <c r="M567" s="187"/>
      <c r="N567" s="20"/>
    </row>
    <row r="568" spans="1:14" ht="45" customHeight="1" x14ac:dyDescent="0.3">
      <c r="A568" s="21"/>
      <c r="B568" s="52" t="s">
        <v>87</v>
      </c>
      <c r="C568" s="183" t="str">
        <f>IF(C136="","Mutuality with this invitee",CONCATENATE("Mutuality with ",C136))</f>
        <v>Mutuality with this invitee</v>
      </c>
      <c r="D568" s="183"/>
      <c r="E568" s="184"/>
      <c r="F568" s="185" t="s">
        <v>90</v>
      </c>
      <c r="G568" s="186"/>
      <c r="H568" s="186"/>
      <c r="I568" s="186"/>
      <c r="J568" s="186"/>
      <c r="K568" s="186"/>
      <c r="L568" s="186"/>
      <c r="M568" s="187"/>
      <c r="N568" s="20"/>
    </row>
    <row r="569" spans="1:14" ht="20" customHeight="1" x14ac:dyDescent="0.3">
      <c r="A569" s="21"/>
      <c r="B569" s="36"/>
      <c r="C569" s="188" t="str">
        <f>IF(C136="","Their receptive level ",CONCATENATE(C136,"'s receptive level "))</f>
        <v xml:space="preserve">Their receptive level </v>
      </c>
      <c r="D569" s="188"/>
      <c r="E569" s="188"/>
      <c r="F569" s="189"/>
      <c r="G569" s="190"/>
      <c r="H569" s="191"/>
      <c r="I569" s="192"/>
      <c r="J569" s="193" t="str">
        <f>IF(C136="","Their responsiveness ",CONCATENATE(C136,"'s responsiveness "))</f>
        <v xml:space="preserve">Their responsiveness </v>
      </c>
      <c r="K569" s="194"/>
      <c r="L569" s="195"/>
      <c r="M569" s="51"/>
      <c r="N569" s="20"/>
    </row>
    <row r="570" spans="1:14" ht="20" customHeight="1" x14ac:dyDescent="0.3">
      <c r="A570" s="21"/>
      <c r="B570" s="36"/>
      <c r="C570" s="22"/>
      <c r="D570" s="22"/>
      <c r="E570" s="22"/>
      <c r="F570" s="22"/>
      <c r="G570" s="22"/>
      <c r="H570" s="22"/>
      <c r="I570" s="22"/>
      <c r="J570" s="22"/>
      <c r="K570" s="22"/>
      <c r="L570" s="22"/>
      <c r="M570" s="22"/>
      <c r="N570" s="20"/>
    </row>
    <row r="571" spans="1:14" ht="25" customHeight="1" x14ac:dyDescent="0.3">
      <c r="A571" s="21"/>
      <c r="B571" s="41" t="str">
        <f>IF(C136="","D.  Interest in my potential wellness campaign",CONCATENATE("D.  ",C136,"'s interest in my potential wellness campaign"))</f>
        <v>D.  Interest in my potential wellness campaign</v>
      </c>
      <c r="C571" s="39"/>
      <c r="D571" s="39"/>
      <c r="E571" s="39"/>
      <c r="F571" s="39"/>
      <c r="G571" s="39"/>
      <c r="H571" s="39"/>
      <c r="I571" s="39"/>
      <c r="J571" s="39"/>
      <c r="K571" s="39"/>
      <c r="L571" s="39"/>
      <c r="M571" s="49" t="str">
        <f>IF(OR(C574="",I574="",L574=""),"",L136)</f>
        <v/>
      </c>
      <c r="N571" s="20"/>
    </row>
    <row r="572" spans="1:14" ht="20" customHeight="1" x14ac:dyDescent="0.3">
      <c r="A572" s="21"/>
      <c r="B572" s="36"/>
      <c r="C572" s="39"/>
      <c r="D572" s="39"/>
      <c r="E572" s="50" t="s">
        <v>96</v>
      </c>
      <c r="F572" s="196" t="str">
        <f>IF(F548="","",F548)</f>
        <v/>
      </c>
      <c r="G572" s="197"/>
      <c r="H572" s="197"/>
      <c r="I572" s="197"/>
      <c r="J572" s="197"/>
      <c r="K572" s="197"/>
      <c r="L572" s="197"/>
      <c r="M572" s="198"/>
      <c r="N572" s="20"/>
    </row>
    <row r="573" spans="1:14" ht="20" customHeight="1" x14ac:dyDescent="0.3">
      <c r="A573" s="21"/>
      <c r="B573" s="36"/>
      <c r="C573" s="24" t="s">
        <v>22</v>
      </c>
      <c r="D573" s="24"/>
      <c r="E573" s="42" t="s">
        <v>25</v>
      </c>
      <c r="F573" s="34" t="s">
        <v>24</v>
      </c>
      <c r="G573" s="34"/>
      <c r="H573" s="34" t="s">
        <v>30</v>
      </c>
      <c r="I573" s="24" t="s">
        <v>23</v>
      </c>
      <c r="J573" s="24"/>
      <c r="K573" s="24"/>
      <c r="L573" s="199" t="s">
        <v>29</v>
      </c>
      <c r="M573" s="199"/>
      <c r="N573" s="20"/>
    </row>
    <row r="574" spans="1:14" ht="20" customHeight="1" x14ac:dyDescent="0.3">
      <c r="A574" s="21"/>
      <c r="B574" s="36"/>
      <c r="C574" s="200"/>
      <c r="D574" s="201"/>
      <c r="E574" s="33"/>
      <c r="F574" s="200"/>
      <c r="G574" s="202"/>
      <c r="H574" s="33"/>
      <c r="I574" s="200"/>
      <c r="J574" s="201"/>
      <c r="K574" s="43"/>
      <c r="L574" s="203"/>
      <c r="M574" s="204"/>
      <c r="N574" s="20"/>
    </row>
    <row r="575" spans="1:14" ht="20" customHeight="1" x14ac:dyDescent="0.3">
      <c r="A575" s="21"/>
      <c r="B575" s="36"/>
      <c r="C575" s="39"/>
      <c r="D575" s="39"/>
      <c r="E575" s="39"/>
      <c r="F575" s="39"/>
      <c r="G575" s="39"/>
      <c r="H575" s="179" t="str">
        <f>AI1094</f>
        <v/>
      </c>
      <c r="I575" s="179"/>
      <c r="J575" s="179"/>
      <c r="K575" s="179"/>
      <c r="L575" s="179"/>
      <c r="M575" s="179" t="str">
        <f>IF(C554="","","your progress with THIS INVITEE")</f>
        <v/>
      </c>
      <c r="N575" s="20"/>
    </row>
    <row r="576" spans="1:14" ht="30" customHeight="1" x14ac:dyDescent="0.3">
      <c r="A576" s="47"/>
      <c r="B576" s="123">
        <v>19</v>
      </c>
      <c r="C576" s="182" t="str">
        <f>IF(C137="","Invitee 19",CONCATENATE(C137," ",F137))</f>
        <v>Invitee 19</v>
      </c>
      <c r="D576" s="182"/>
      <c r="E576" s="182"/>
      <c r="F576" s="182"/>
      <c r="G576" s="182"/>
      <c r="H576" s="182"/>
      <c r="I576" s="182"/>
      <c r="J576" s="182"/>
      <c r="K576" s="182"/>
      <c r="L576" s="206">
        <f>M137</f>
        <v>0</v>
      </c>
      <c r="M576" s="206"/>
      <c r="N576" s="48"/>
    </row>
    <row r="577" spans="1:14" ht="20" customHeight="1" x14ac:dyDescent="0.3">
      <c r="A577" s="21"/>
      <c r="B577" s="24"/>
      <c r="C577" s="56" t="s">
        <v>104</v>
      </c>
      <c r="D577" s="56"/>
      <c r="E577" s="57"/>
      <c r="F577" s="83" t="s">
        <v>105</v>
      </c>
      <c r="G577" s="56"/>
      <c r="H577" s="56"/>
      <c r="I577" s="83" t="s">
        <v>106</v>
      </c>
      <c r="J577" s="83"/>
      <c r="K577" s="83"/>
      <c r="L577" s="56" t="s">
        <v>107</v>
      </c>
      <c r="M577" s="56"/>
      <c r="N577" s="20"/>
    </row>
    <row r="578" spans="1:14" ht="20" customHeight="1" x14ac:dyDescent="0.3">
      <c r="A578" s="21"/>
      <c r="B578" s="24"/>
      <c r="C578" s="218"/>
      <c r="D578" s="219"/>
      <c r="E578" s="220"/>
      <c r="F578" s="221"/>
      <c r="G578" s="222"/>
      <c r="H578" s="223"/>
      <c r="I578" s="224"/>
      <c r="J578" s="225"/>
      <c r="K578" s="225"/>
      <c r="L578" s="218"/>
      <c r="M578" s="220"/>
      <c r="N578" s="20"/>
    </row>
    <row r="579" spans="1:14" ht="20" customHeight="1" x14ac:dyDescent="0.3">
      <c r="A579" s="21"/>
      <c r="B579" s="41" t="str">
        <f>IF(C137="","A.  Inviting contact to express their need",CONCATENATE("A.  Inviting ",C137," to express their need"))</f>
        <v>A.  Inviting contact to express their need</v>
      </c>
      <c r="C579" s="36"/>
      <c r="D579" s="36"/>
      <c r="E579" s="36"/>
      <c r="F579" s="36"/>
      <c r="G579" s="36"/>
      <c r="H579" s="36"/>
      <c r="I579" s="40"/>
      <c r="J579" s="36"/>
      <c r="K579" s="36"/>
      <c r="L579" s="36"/>
      <c r="M579" s="46" t="str">
        <f>IF(OR(L581="",K583=""),"",I137)</f>
        <v/>
      </c>
      <c r="N579" s="20"/>
    </row>
    <row r="580" spans="1:14" ht="20" customHeight="1" x14ac:dyDescent="0.3">
      <c r="A580" s="21"/>
      <c r="B580" s="41"/>
      <c r="C580" s="24" t="s">
        <v>22</v>
      </c>
      <c r="D580" s="24"/>
      <c r="E580" s="42" t="s">
        <v>25</v>
      </c>
      <c r="F580" s="34" t="s">
        <v>24</v>
      </c>
      <c r="G580" s="34"/>
      <c r="H580" s="34" t="s">
        <v>30</v>
      </c>
      <c r="I580" s="24" t="s">
        <v>23</v>
      </c>
      <c r="J580" s="24"/>
      <c r="K580" s="24"/>
      <c r="L580" s="231" t="s">
        <v>29</v>
      </c>
      <c r="M580" s="231"/>
      <c r="N580" s="20"/>
    </row>
    <row r="581" spans="1:14" ht="20" customHeight="1" x14ac:dyDescent="0.3">
      <c r="A581" s="21"/>
      <c r="B581" s="23"/>
      <c r="C581" s="200"/>
      <c r="D581" s="201"/>
      <c r="E581" s="33"/>
      <c r="F581" s="200"/>
      <c r="G581" s="201"/>
      <c r="H581" s="33"/>
      <c r="I581" s="200"/>
      <c r="J581" s="201"/>
      <c r="K581" s="43"/>
      <c r="L581" s="203"/>
      <c r="M581" s="204"/>
      <c r="N581" s="20"/>
    </row>
    <row r="582" spans="1:14" ht="60" customHeight="1" x14ac:dyDescent="0.3">
      <c r="A582" s="21"/>
      <c r="B582" s="36"/>
      <c r="C582" s="207" t="str">
        <f>IF(C137="", "Their expressed need:",CONCATENATE(C137,"'s expressed need:"))</f>
        <v>Their expressed need:</v>
      </c>
      <c r="D582" s="208"/>
      <c r="E582" s="209"/>
      <c r="F582" s="210"/>
      <c r="G582" s="210"/>
      <c r="H582" s="210"/>
      <c r="I582" s="210"/>
      <c r="J582" s="210"/>
      <c r="K582" s="210"/>
      <c r="L582" s="210"/>
      <c r="M582" s="211"/>
      <c r="N582" s="20"/>
    </row>
    <row r="583" spans="1:14" ht="20" customHeight="1" x14ac:dyDescent="0.3">
      <c r="A583" s="21"/>
      <c r="B583" s="36"/>
      <c r="C583" s="25"/>
      <c r="D583" s="45" t="s">
        <v>73</v>
      </c>
      <c r="E583" s="212"/>
      <c r="F583" s="213"/>
      <c r="G583" s="213"/>
      <c r="H583" s="214"/>
      <c r="I583" s="25"/>
      <c r="J583" s="44" t="s">
        <v>72</v>
      </c>
      <c r="K583" s="212"/>
      <c r="L583" s="213"/>
      <c r="M583" s="214"/>
      <c r="N583" s="20"/>
    </row>
    <row r="584" spans="1:14" ht="25" customHeight="1" x14ac:dyDescent="0.3">
      <c r="A584" s="21"/>
      <c r="B584" s="41" t="str">
        <f>IF(C137="","B.  Honoring invitee's expressed need",CONCATENATE("B.  Honoring ",C137,"'s expressed need"))</f>
        <v>B.  Honoring invitee's expressed need</v>
      </c>
      <c r="C584" s="36"/>
      <c r="D584" s="36"/>
      <c r="E584" s="36"/>
      <c r="F584" s="36"/>
      <c r="G584" s="36"/>
      <c r="H584" s="36"/>
      <c r="I584" s="40"/>
      <c r="J584" s="36"/>
      <c r="K584" s="36"/>
      <c r="L584" s="36"/>
      <c r="M584" s="46" t="str">
        <f>IF(G587="","",J137)</f>
        <v/>
      </c>
      <c r="N584" s="20"/>
    </row>
    <row r="585" spans="1:14" ht="45" customHeight="1" x14ac:dyDescent="0.3">
      <c r="A585" s="21"/>
      <c r="B585" s="36"/>
      <c r="C585" s="215" t="str">
        <f>IF(C137="","Honoring invitee's expressed need",CONCATENATE("Honoring ",C137,"'s expressed need"))</f>
        <v>Honoring invitee's expressed need</v>
      </c>
      <c r="D585" s="215"/>
      <c r="E585" s="216"/>
      <c r="F585" s="185"/>
      <c r="G585" s="186"/>
      <c r="H585" s="186"/>
      <c r="I585" s="186"/>
      <c r="J585" s="186"/>
      <c r="K585" s="186"/>
      <c r="L585" s="186"/>
      <c r="M585" s="187"/>
      <c r="N585" s="20"/>
    </row>
    <row r="586" spans="1:14" ht="45" customHeight="1" x14ac:dyDescent="0.3">
      <c r="A586" s="21"/>
      <c r="B586" s="36"/>
      <c r="C586" s="226" t="str">
        <f>IF(C137="","Invitee's feedback to my efforts",CONCATENATE(C137,"'s feedback to my efforts"))</f>
        <v>Invitee's feedback to my efforts</v>
      </c>
      <c r="D586" s="226"/>
      <c r="E586" s="227"/>
      <c r="F586" s="185"/>
      <c r="G586" s="186"/>
      <c r="H586" s="186"/>
      <c r="I586" s="186"/>
      <c r="J586" s="186"/>
      <c r="K586" s="186"/>
      <c r="L586" s="186"/>
      <c r="M586" s="187"/>
      <c r="N586" s="20"/>
    </row>
    <row r="587" spans="1:14" ht="20" customHeight="1" x14ac:dyDescent="0.3">
      <c r="A587" s="21"/>
      <c r="B587" s="36"/>
      <c r="C587" s="188" t="str">
        <f>IF(C137="","Their satisfaction level ",CONCATENATE(C137,"'s satisfaction level "))</f>
        <v xml:space="preserve">Their satisfaction level </v>
      </c>
      <c r="D587" s="188"/>
      <c r="E587" s="188"/>
      <c r="F587" s="189"/>
      <c r="G587" s="190"/>
      <c r="H587" s="191"/>
      <c r="I587" s="192"/>
      <c r="J587" s="228" t="str">
        <f>IF(C137="","Their emotional response ",CONCATENATE(C137,"'s emotional response "))</f>
        <v xml:space="preserve">Their emotional response </v>
      </c>
      <c r="K587" s="229"/>
      <c r="L587" s="230"/>
      <c r="M587" s="43"/>
      <c r="N587" s="20"/>
    </row>
    <row r="588" spans="1:14" ht="20" customHeight="1" x14ac:dyDescent="0.3">
      <c r="A588" s="21"/>
      <c r="B588" s="36"/>
      <c r="C588" s="39"/>
      <c r="D588" s="39"/>
      <c r="E588" s="39"/>
      <c r="F588" s="39"/>
      <c r="G588" s="39"/>
      <c r="H588" s="39"/>
      <c r="I588" s="39"/>
      <c r="J588" s="39"/>
      <c r="K588" s="39"/>
      <c r="L588" s="39"/>
      <c r="M588" s="39"/>
      <c r="N588" s="20"/>
    </row>
    <row r="589" spans="1:14" ht="25" customHeight="1" x14ac:dyDescent="0.3">
      <c r="A589" s="21"/>
      <c r="B589" s="41" t="str">
        <f>IF(C137="","C.  My expressed need to ask this invitee",CONCATENATE("C.  My expressed need to ask ",C137))</f>
        <v>C.  My expressed need to ask this invitee</v>
      </c>
      <c r="C589" s="38"/>
      <c r="D589" s="38"/>
      <c r="E589" s="38"/>
      <c r="F589" s="37"/>
      <c r="G589" s="37"/>
      <c r="H589" s="37"/>
      <c r="I589" s="37"/>
      <c r="J589" s="37"/>
      <c r="K589" s="37"/>
      <c r="L589" s="37"/>
      <c r="M589" s="49" t="str">
        <f>IF(OR(G593="",M593=""),"",K137)</f>
        <v/>
      </c>
      <c r="N589" s="20"/>
    </row>
    <row r="590" spans="1:14" ht="45" customHeight="1" x14ac:dyDescent="0.3">
      <c r="A590" s="21"/>
      <c r="B590" s="52" t="s">
        <v>87</v>
      </c>
      <c r="C590" s="183" t="str">
        <f>IF(C137="","Affirming this invitee",CONCATENATE("Affirming ",C137))</f>
        <v>Affirming this invitee</v>
      </c>
      <c r="D590" s="183"/>
      <c r="E590" s="184"/>
      <c r="F590" s="185" t="s">
        <v>89</v>
      </c>
      <c r="G590" s="186"/>
      <c r="H590" s="186"/>
      <c r="I590" s="186"/>
      <c r="J590" s="186"/>
      <c r="K590" s="186"/>
      <c r="L590" s="186"/>
      <c r="M590" s="187"/>
      <c r="N590" s="20"/>
    </row>
    <row r="591" spans="1:14" ht="45" customHeight="1" x14ac:dyDescent="0.3">
      <c r="A591" s="21"/>
      <c r="B591" s="53" t="s">
        <v>88</v>
      </c>
      <c r="C591" s="183" t="str">
        <f>IF(C137="","My need this invitee could respect",CONCATENATE("My need ",C137," could respect"))</f>
        <v>My need this invitee could respect</v>
      </c>
      <c r="D591" s="183"/>
      <c r="E591" s="184"/>
      <c r="F591" s="185" t="s">
        <v>155</v>
      </c>
      <c r="G591" s="186"/>
      <c r="H591" s="186"/>
      <c r="I591" s="186"/>
      <c r="J591" s="186"/>
      <c r="K591" s="186"/>
      <c r="L591" s="186"/>
      <c r="M591" s="187"/>
      <c r="N591" s="20"/>
    </row>
    <row r="592" spans="1:14" ht="45" customHeight="1" x14ac:dyDescent="0.3">
      <c r="A592" s="21"/>
      <c r="B592" s="52" t="s">
        <v>87</v>
      </c>
      <c r="C592" s="183" t="str">
        <f>IF(C137="","Mutuality with this invitee",CONCATENATE("Mutuality with ",C137))</f>
        <v>Mutuality with this invitee</v>
      </c>
      <c r="D592" s="183"/>
      <c r="E592" s="184"/>
      <c r="F592" s="185" t="s">
        <v>90</v>
      </c>
      <c r="G592" s="186"/>
      <c r="H592" s="186"/>
      <c r="I592" s="186"/>
      <c r="J592" s="186"/>
      <c r="K592" s="186"/>
      <c r="L592" s="186"/>
      <c r="M592" s="187"/>
      <c r="N592" s="20"/>
    </row>
    <row r="593" spans="1:14" ht="20" customHeight="1" x14ac:dyDescent="0.3">
      <c r="A593" s="21"/>
      <c r="B593" s="36"/>
      <c r="C593" s="188" t="str">
        <f>IF(C137="","Their receptive level ",CONCATENATE(C137,"'s receptive level "))</f>
        <v xml:space="preserve">Their receptive level </v>
      </c>
      <c r="D593" s="188"/>
      <c r="E593" s="188"/>
      <c r="F593" s="189"/>
      <c r="G593" s="190"/>
      <c r="H593" s="191"/>
      <c r="I593" s="192"/>
      <c r="J593" s="193" t="str">
        <f>IF(C137="","Their responsiveness ",CONCATENATE(C137,"'s responsiveness "))</f>
        <v xml:space="preserve">Their responsiveness </v>
      </c>
      <c r="K593" s="194"/>
      <c r="L593" s="195"/>
      <c r="M593" s="51"/>
      <c r="N593" s="20"/>
    </row>
    <row r="594" spans="1:14" ht="20" customHeight="1" x14ac:dyDescent="0.3">
      <c r="A594" s="21"/>
      <c r="B594" s="36"/>
      <c r="C594" s="22"/>
      <c r="D594" s="22"/>
      <c r="E594" s="22"/>
      <c r="F594" s="22"/>
      <c r="G594" s="22"/>
      <c r="H594" s="22"/>
      <c r="I594" s="22"/>
      <c r="J594" s="22"/>
      <c r="K594" s="22"/>
      <c r="L594" s="22"/>
      <c r="M594" s="22"/>
      <c r="N594" s="20"/>
    </row>
    <row r="595" spans="1:14" ht="25" customHeight="1" x14ac:dyDescent="0.3">
      <c r="A595" s="21"/>
      <c r="B595" s="41" t="str">
        <f>IF(C137="","D.  Interest in my potential wellness campaign",CONCATENATE("D.  ",C137,"'s interest in my potential wellness campaign"))</f>
        <v>D.  Interest in my potential wellness campaign</v>
      </c>
      <c r="C595" s="39"/>
      <c r="D595" s="39"/>
      <c r="E595" s="39"/>
      <c r="F595" s="39"/>
      <c r="G595" s="39"/>
      <c r="H595" s="39"/>
      <c r="I595" s="39"/>
      <c r="J595" s="39"/>
      <c r="K595" s="39"/>
      <c r="L595" s="39"/>
      <c r="M595" s="49" t="str">
        <f>IF(OR(C598="",I598="",L598=""),"",L137)</f>
        <v/>
      </c>
      <c r="N595" s="20"/>
    </row>
    <row r="596" spans="1:14" ht="20" customHeight="1" x14ac:dyDescent="0.3">
      <c r="A596" s="21"/>
      <c r="B596" s="36"/>
      <c r="C596" s="39"/>
      <c r="D596" s="39"/>
      <c r="E596" s="50" t="s">
        <v>96</v>
      </c>
      <c r="F596" s="196" t="str">
        <f>IF(485="","",F572)</f>
        <v/>
      </c>
      <c r="G596" s="197"/>
      <c r="H596" s="197"/>
      <c r="I596" s="197"/>
      <c r="J596" s="197"/>
      <c r="K596" s="197"/>
      <c r="L596" s="197"/>
      <c r="M596" s="198"/>
      <c r="N596" s="20"/>
    </row>
    <row r="597" spans="1:14" ht="20" customHeight="1" x14ac:dyDescent="0.3">
      <c r="A597" s="21"/>
      <c r="B597" s="36"/>
      <c r="C597" s="24" t="s">
        <v>22</v>
      </c>
      <c r="D597" s="24"/>
      <c r="E597" s="42" t="s">
        <v>25</v>
      </c>
      <c r="F597" s="34" t="s">
        <v>24</v>
      </c>
      <c r="G597" s="34"/>
      <c r="H597" s="34" t="s">
        <v>30</v>
      </c>
      <c r="I597" s="24" t="s">
        <v>23</v>
      </c>
      <c r="J597" s="24"/>
      <c r="K597" s="24"/>
      <c r="L597" s="199" t="s">
        <v>29</v>
      </c>
      <c r="M597" s="199"/>
      <c r="N597" s="20"/>
    </row>
    <row r="598" spans="1:14" ht="20" customHeight="1" x14ac:dyDescent="0.3">
      <c r="A598" s="21"/>
      <c r="B598" s="36"/>
      <c r="C598" s="200"/>
      <c r="D598" s="201"/>
      <c r="E598" s="33"/>
      <c r="F598" s="200"/>
      <c r="G598" s="202"/>
      <c r="H598" s="33"/>
      <c r="I598" s="200"/>
      <c r="J598" s="201"/>
      <c r="K598" s="43"/>
      <c r="L598" s="203"/>
      <c r="M598" s="204"/>
      <c r="N598" s="20"/>
    </row>
    <row r="599" spans="1:14" ht="20" customHeight="1" x14ac:dyDescent="0.3">
      <c r="A599" s="21"/>
      <c r="B599" s="36"/>
      <c r="C599" s="39"/>
      <c r="D599" s="39"/>
      <c r="E599" s="39"/>
      <c r="F599" s="39"/>
      <c r="G599" s="39"/>
      <c r="H599" s="179" t="str">
        <f>AI1095</f>
        <v/>
      </c>
      <c r="I599" s="179"/>
      <c r="J599" s="179"/>
      <c r="K599" s="179"/>
      <c r="L599" s="179"/>
      <c r="M599" s="179" t="str">
        <f>IF(C578="","","your progress with THIS INVITEE")</f>
        <v/>
      </c>
      <c r="N599" s="20"/>
    </row>
    <row r="600" spans="1:14" ht="30" customHeight="1" x14ac:dyDescent="0.3">
      <c r="A600" s="47"/>
      <c r="B600" s="123">
        <v>20</v>
      </c>
      <c r="C600" s="182" t="str">
        <f>IF(C138="","Invitee 20",CONCATENATE(C138," ",F138))</f>
        <v>Invitee 20</v>
      </c>
      <c r="D600" s="182"/>
      <c r="E600" s="182"/>
      <c r="F600" s="182"/>
      <c r="G600" s="182"/>
      <c r="H600" s="182"/>
      <c r="I600" s="182"/>
      <c r="J600" s="182"/>
      <c r="K600" s="182"/>
      <c r="L600" s="206">
        <f>M138</f>
        <v>0</v>
      </c>
      <c r="M600" s="206"/>
      <c r="N600" s="48"/>
    </row>
    <row r="601" spans="1:14" ht="20" customHeight="1" x14ac:dyDescent="0.3">
      <c r="A601" s="21"/>
      <c r="B601" s="24"/>
      <c r="C601" s="56" t="s">
        <v>104</v>
      </c>
      <c r="D601" s="56"/>
      <c r="E601" s="57"/>
      <c r="F601" s="83" t="s">
        <v>105</v>
      </c>
      <c r="G601" s="56"/>
      <c r="H601" s="56"/>
      <c r="I601" s="83" t="s">
        <v>106</v>
      </c>
      <c r="J601" s="83"/>
      <c r="K601" s="83"/>
      <c r="L601" s="56" t="s">
        <v>107</v>
      </c>
      <c r="M601" s="56"/>
      <c r="N601" s="20"/>
    </row>
    <row r="602" spans="1:14" ht="20" customHeight="1" x14ac:dyDescent="0.3">
      <c r="A602" s="21"/>
      <c r="B602" s="24"/>
      <c r="C602" s="218"/>
      <c r="D602" s="219"/>
      <c r="E602" s="220"/>
      <c r="F602" s="221"/>
      <c r="G602" s="222"/>
      <c r="H602" s="223"/>
      <c r="I602" s="224"/>
      <c r="J602" s="225"/>
      <c r="K602" s="225"/>
      <c r="L602" s="218"/>
      <c r="M602" s="220"/>
      <c r="N602" s="20"/>
    </row>
    <row r="603" spans="1:14" ht="20" customHeight="1" x14ac:dyDescent="0.3">
      <c r="A603" s="21"/>
      <c r="B603" s="41" t="str">
        <f>IF(C138="","A.  Inviting contact to express their need",CONCATENATE("A.  Inviting ",C138," to express their need"))</f>
        <v>A.  Inviting contact to express their need</v>
      </c>
      <c r="C603" s="36"/>
      <c r="D603" s="36"/>
      <c r="E603" s="36"/>
      <c r="F603" s="36"/>
      <c r="G603" s="36"/>
      <c r="H603" s="36"/>
      <c r="I603" s="40"/>
      <c r="J603" s="36"/>
      <c r="K603" s="36"/>
      <c r="L603" s="36"/>
      <c r="M603" s="46" t="str">
        <f>IF(OR(L605="",K607=""),"",I138)</f>
        <v/>
      </c>
      <c r="N603" s="20"/>
    </row>
    <row r="604" spans="1:14" ht="20" customHeight="1" x14ac:dyDescent="0.3">
      <c r="A604" s="21"/>
      <c r="B604" s="41"/>
      <c r="C604" s="24" t="s">
        <v>22</v>
      </c>
      <c r="D604" s="24"/>
      <c r="E604" s="42" t="s">
        <v>25</v>
      </c>
      <c r="F604" s="34" t="s">
        <v>24</v>
      </c>
      <c r="G604" s="34"/>
      <c r="H604" s="34" t="s">
        <v>30</v>
      </c>
      <c r="I604" s="24" t="s">
        <v>23</v>
      </c>
      <c r="J604" s="24"/>
      <c r="K604" s="24"/>
      <c r="L604" s="231" t="s">
        <v>29</v>
      </c>
      <c r="M604" s="231"/>
      <c r="N604" s="20"/>
    </row>
    <row r="605" spans="1:14" ht="20" customHeight="1" x14ac:dyDescent="0.3">
      <c r="A605" s="21"/>
      <c r="B605" s="23"/>
      <c r="C605" s="200"/>
      <c r="D605" s="201"/>
      <c r="E605" s="33"/>
      <c r="F605" s="200"/>
      <c r="G605" s="201"/>
      <c r="H605" s="33"/>
      <c r="I605" s="200"/>
      <c r="J605" s="201"/>
      <c r="K605" s="43"/>
      <c r="L605" s="203"/>
      <c r="M605" s="204"/>
      <c r="N605" s="20"/>
    </row>
    <row r="606" spans="1:14" ht="60" customHeight="1" x14ac:dyDescent="0.3">
      <c r="A606" s="21"/>
      <c r="B606" s="36"/>
      <c r="C606" s="207" t="str">
        <f>IF(C138="", "Their expressed need:",CONCATENATE(C138,"'s expressed need:"))</f>
        <v>Their expressed need:</v>
      </c>
      <c r="D606" s="208"/>
      <c r="E606" s="209"/>
      <c r="F606" s="210"/>
      <c r="G606" s="210"/>
      <c r="H606" s="210"/>
      <c r="I606" s="210"/>
      <c r="J606" s="210"/>
      <c r="K606" s="210"/>
      <c r="L606" s="210"/>
      <c r="M606" s="211"/>
      <c r="N606" s="20"/>
    </row>
    <row r="607" spans="1:14" ht="20" customHeight="1" x14ac:dyDescent="0.3">
      <c r="A607" s="21"/>
      <c r="B607" s="36"/>
      <c r="C607" s="25"/>
      <c r="D607" s="45" t="s">
        <v>73</v>
      </c>
      <c r="E607" s="212"/>
      <c r="F607" s="213"/>
      <c r="G607" s="213"/>
      <c r="H607" s="214"/>
      <c r="I607" s="25"/>
      <c r="J607" s="44" t="s">
        <v>72</v>
      </c>
      <c r="K607" s="212"/>
      <c r="L607" s="213"/>
      <c r="M607" s="214"/>
      <c r="N607" s="20"/>
    </row>
    <row r="608" spans="1:14" ht="25" customHeight="1" x14ac:dyDescent="0.3">
      <c r="A608" s="21"/>
      <c r="B608" s="41" t="str">
        <f>IF(C138="","B.  Honoring invitee's expressed need",CONCATENATE("B.  Honoring ",C138,"'s expressed need"))</f>
        <v>B.  Honoring invitee's expressed need</v>
      </c>
      <c r="C608" s="36"/>
      <c r="D608" s="36"/>
      <c r="E608" s="36"/>
      <c r="F608" s="36"/>
      <c r="G608" s="36"/>
      <c r="H608" s="36"/>
      <c r="I608" s="40"/>
      <c r="J608" s="36"/>
      <c r="K608" s="36"/>
      <c r="L608" s="36"/>
      <c r="M608" s="46" t="str">
        <f>IF(G611="","",J138)</f>
        <v/>
      </c>
      <c r="N608" s="20"/>
    </row>
    <row r="609" spans="1:14" ht="45" customHeight="1" x14ac:dyDescent="0.3">
      <c r="A609" s="21"/>
      <c r="B609" s="36"/>
      <c r="C609" s="215" t="str">
        <f>IF(C138="","Honoring invitee's expressed need",CONCATENATE("Honoring ",C138,"'s expressed need"))</f>
        <v>Honoring invitee's expressed need</v>
      </c>
      <c r="D609" s="215"/>
      <c r="E609" s="216"/>
      <c r="F609" s="185"/>
      <c r="G609" s="186"/>
      <c r="H609" s="186"/>
      <c r="I609" s="186"/>
      <c r="J609" s="186"/>
      <c r="K609" s="186"/>
      <c r="L609" s="186"/>
      <c r="M609" s="187"/>
      <c r="N609" s="20"/>
    </row>
    <row r="610" spans="1:14" ht="45" customHeight="1" x14ac:dyDescent="0.3">
      <c r="A610" s="21"/>
      <c r="B610" s="36"/>
      <c r="C610" s="226" t="str">
        <f>IF(C138="","Invitee's feedback to my efforts",CONCATENATE(C138,"'s feedback to my efforts"))</f>
        <v>Invitee's feedback to my efforts</v>
      </c>
      <c r="D610" s="226"/>
      <c r="E610" s="227"/>
      <c r="F610" s="185"/>
      <c r="G610" s="186"/>
      <c r="H610" s="186"/>
      <c r="I610" s="186"/>
      <c r="J610" s="186"/>
      <c r="K610" s="186"/>
      <c r="L610" s="186"/>
      <c r="M610" s="187"/>
      <c r="N610" s="20"/>
    </row>
    <row r="611" spans="1:14" ht="20" customHeight="1" x14ac:dyDescent="0.3">
      <c r="A611" s="21"/>
      <c r="B611" s="36"/>
      <c r="C611" s="188" t="str">
        <f>IF(C138="","Their satisfaction level ",CONCATENATE(C138,"'s satisfaction level "))</f>
        <v xml:space="preserve">Their satisfaction level </v>
      </c>
      <c r="D611" s="188"/>
      <c r="E611" s="188"/>
      <c r="F611" s="189"/>
      <c r="G611" s="190"/>
      <c r="H611" s="191"/>
      <c r="I611" s="192"/>
      <c r="J611" s="228" t="str">
        <f>IF(C138="","Their emotional response ",CONCATENATE(C138,"'s emotional response "))</f>
        <v xml:space="preserve">Their emotional response </v>
      </c>
      <c r="K611" s="229"/>
      <c r="L611" s="230"/>
      <c r="M611" s="43"/>
      <c r="N611" s="20"/>
    </row>
    <row r="612" spans="1:14" ht="20" customHeight="1" x14ac:dyDescent="0.3">
      <c r="A612" s="21"/>
      <c r="B612" s="36"/>
      <c r="C612" s="39"/>
      <c r="D612" s="39"/>
      <c r="E612" s="39"/>
      <c r="F612" s="39"/>
      <c r="G612" s="39"/>
      <c r="H612" s="39"/>
      <c r="I612" s="39"/>
      <c r="J612" s="39"/>
      <c r="K612" s="39"/>
      <c r="L612" s="39"/>
      <c r="M612" s="39"/>
      <c r="N612" s="20"/>
    </row>
    <row r="613" spans="1:14" ht="25" customHeight="1" x14ac:dyDescent="0.3">
      <c r="A613" s="21"/>
      <c r="B613" s="41" t="str">
        <f>IF(C138="","C.  My expressed need to ask this invitee",CONCATENATE("C.  My expressed need to ask ",C138))</f>
        <v>C.  My expressed need to ask this invitee</v>
      </c>
      <c r="C613" s="38"/>
      <c r="D613" s="38"/>
      <c r="E613" s="38"/>
      <c r="F613" s="37"/>
      <c r="G613" s="37"/>
      <c r="H613" s="37"/>
      <c r="I613" s="37"/>
      <c r="J613" s="37"/>
      <c r="K613" s="37"/>
      <c r="L613" s="37"/>
      <c r="M613" s="49" t="str">
        <f>IF(OR(G617="",M617=""),"",K138)</f>
        <v/>
      </c>
      <c r="N613" s="20"/>
    </row>
    <row r="614" spans="1:14" ht="45" customHeight="1" x14ac:dyDescent="0.3">
      <c r="A614" s="21"/>
      <c r="B614" s="52" t="s">
        <v>87</v>
      </c>
      <c r="C614" s="183" t="str">
        <f>IF(C138="","Affirming this invitee",CONCATENATE("Affirming ",C138))</f>
        <v>Affirming this invitee</v>
      </c>
      <c r="D614" s="183"/>
      <c r="E614" s="184"/>
      <c r="F614" s="185" t="s">
        <v>89</v>
      </c>
      <c r="G614" s="186"/>
      <c r="H614" s="186"/>
      <c r="I614" s="186"/>
      <c r="J614" s="186"/>
      <c r="K614" s="186"/>
      <c r="L614" s="186"/>
      <c r="M614" s="187"/>
      <c r="N614" s="20"/>
    </row>
    <row r="615" spans="1:14" ht="45" customHeight="1" x14ac:dyDescent="0.3">
      <c r="A615" s="21"/>
      <c r="B615" s="53" t="s">
        <v>88</v>
      </c>
      <c r="C615" s="183" t="str">
        <f>IF(C138="","My need this invitee could respect",CONCATENATE("My need ",C138," could respect"))</f>
        <v>My need this invitee could respect</v>
      </c>
      <c r="D615" s="183"/>
      <c r="E615" s="184"/>
      <c r="F615" s="185" t="s">
        <v>155</v>
      </c>
      <c r="G615" s="186"/>
      <c r="H615" s="186"/>
      <c r="I615" s="186"/>
      <c r="J615" s="186"/>
      <c r="K615" s="186"/>
      <c r="L615" s="186"/>
      <c r="M615" s="187"/>
      <c r="N615" s="20"/>
    </row>
    <row r="616" spans="1:14" ht="45" customHeight="1" x14ac:dyDescent="0.3">
      <c r="A616" s="21"/>
      <c r="B616" s="52" t="s">
        <v>87</v>
      </c>
      <c r="C616" s="183" t="str">
        <f>IF(C138="","Mutuality with this invitee",CONCATENATE("Mutuality with ",C138))</f>
        <v>Mutuality with this invitee</v>
      </c>
      <c r="D616" s="183"/>
      <c r="E616" s="184"/>
      <c r="F616" s="185" t="s">
        <v>90</v>
      </c>
      <c r="G616" s="186"/>
      <c r="H616" s="186"/>
      <c r="I616" s="186"/>
      <c r="J616" s="186"/>
      <c r="K616" s="186"/>
      <c r="L616" s="186"/>
      <c r="M616" s="187"/>
      <c r="N616" s="20"/>
    </row>
    <row r="617" spans="1:14" ht="20" customHeight="1" x14ac:dyDescent="0.3">
      <c r="A617" s="21"/>
      <c r="B617" s="36"/>
      <c r="C617" s="188" t="str">
        <f>IF(C138="","Their receptive level ",CONCATENATE(C138,"'s receptive level "))</f>
        <v xml:space="preserve">Their receptive level </v>
      </c>
      <c r="D617" s="188"/>
      <c r="E617" s="188"/>
      <c r="F617" s="189"/>
      <c r="G617" s="190"/>
      <c r="H617" s="191"/>
      <c r="I617" s="192"/>
      <c r="J617" s="193" t="str">
        <f>IF(C138="","Their responsiveness ",CONCATENATE(C138,"'s responsiveness "))</f>
        <v xml:space="preserve">Their responsiveness </v>
      </c>
      <c r="K617" s="194"/>
      <c r="L617" s="195"/>
      <c r="M617" s="51"/>
      <c r="N617" s="20"/>
    </row>
    <row r="618" spans="1:14" ht="20" customHeight="1" x14ac:dyDescent="0.3">
      <c r="A618" s="21"/>
      <c r="B618" s="36"/>
      <c r="C618" s="22"/>
      <c r="D618" s="22"/>
      <c r="E618" s="22"/>
      <c r="F618" s="22"/>
      <c r="G618" s="22"/>
      <c r="H618" s="22"/>
      <c r="I618" s="22"/>
      <c r="J618" s="22"/>
      <c r="K618" s="22"/>
      <c r="L618" s="22"/>
      <c r="M618" s="22"/>
      <c r="N618" s="20"/>
    </row>
    <row r="619" spans="1:14" ht="25" customHeight="1" x14ac:dyDescent="0.3">
      <c r="A619" s="21"/>
      <c r="B619" s="41" t="str">
        <f>IF(C138="","D.  Interest in my potential wellness campaign",CONCATENATE("D.  ",C138,"'s interest in my potential wellness campaign"))</f>
        <v>D.  Interest in my potential wellness campaign</v>
      </c>
      <c r="C619" s="39"/>
      <c r="D619" s="39"/>
      <c r="E619" s="39"/>
      <c r="F619" s="39"/>
      <c r="G619" s="39"/>
      <c r="H619" s="39"/>
      <c r="I619" s="39"/>
      <c r="J619" s="39"/>
      <c r="K619" s="39"/>
      <c r="L619" s="39"/>
      <c r="M619" s="49" t="str">
        <f>IF(OR(C622="",I622="",L622=""),"",L138)</f>
        <v/>
      </c>
      <c r="N619" s="20"/>
    </row>
    <row r="620" spans="1:14" ht="20" customHeight="1" x14ac:dyDescent="0.3">
      <c r="A620" s="21"/>
      <c r="B620" s="36"/>
      <c r="C620" s="39"/>
      <c r="D620" s="39"/>
      <c r="E620" s="50" t="s">
        <v>96</v>
      </c>
      <c r="F620" s="196" t="str">
        <f>IF(OR(F596=0,F596=""),"",F596)</f>
        <v/>
      </c>
      <c r="G620" s="197"/>
      <c r="H620" s="197"/>
      <c r="I620" s="197"/>
      <c r="J620" s="197"/>
      <c r="K620" s="197"/>
      <c r="L620" s="197"/>
      <c r="M620" s="198"/>
      <c r="N620" s="20"/>
    </row>
    <row r="621" spans="1:14" ht="20" customHeight="1" x14ac:dyDescent="0.3">
      <c r="A621" s="21"/>
      <c r="B621" s="36"/>
      <c r="C621" s="24" t="s">
        <v>22</v>
      </c>
      <c r="D621" s="24"/>
      <c r="E621" s="42" t="s">
        <v>25</v>
      </c>
      <c r="F621" s="34" t="s">
        <v>24</v>
      </c>
      <c r="G621" s="34"/>
      <c r="H621" s="34" t="s">
        <v>30</v>
      </c>
      <c r="I621" s="24" t="s">
        <v>23</v>
      </c>
      <c r="J621" s="24"/>
      <c r="K621" s="24"/>
      <c r="L621" s="199" t="s">
        <v>29</v>
      </c>
      <c r="M621" s="199"/>
      <c r="N621" s="20"/>
    </row>
    <row r="622" spans="1:14" ht="20" customHeight="1" x14ac:dyDescent="0.3">
      <c r="A622" s="21"/>
      <c r="B622" s="36"/>
      <c r="C622" s="200"/>
      <c r="D622" s="201"/>
      <c r="E622" s="33"/>
      <c r="F622" s="200"/>
      <c r="G622" s="202"/>
      <c r="H622" s="33"/>
      <c r="I622" s="200"/>
      <c r="J622" s="201"/>
      <c r="K622" s="43"/>
      <c r="L622" s="203"/>
      <c r="M622" s="204"/>
      <c r="N622" s="20"/>
    </row>
    <row r="623" spans="1:14" ht="20" customHeight="1" x14ac:dyDescent="0.3">
      <c r="A623" s="21"/>
      <c r="B623" s="36"/>
      <c r="C623" s="39"/>
      <c r="D623" s="39"/>
      <c r="E623" s="39"/>
      <c r="F623" s="39"/>
      <c r="G623" s="39"/>
      <c r="H623" s="179" t="str">
        <f>AI1096</f>
        <v/>
      </c>
      <c r="I623" s="179"/>
      <c r="J623" s="179"/>
      <c r="K623" s="179"/>
      <c r="L623" s="179"/>
      <c r="M623" s="179" t="str">
        <f>IF(C602="","","your progress with THIS INVITEE")</f>
        <v/>
      </c>
      <c r="N623" s="20"/>
    </row>
    <row r="624" spans="1:14" ht="50" customHeight="1" x14ac:dyDescent="0.3">
      <c r="A624" s="156"/>
      <c r="B624" s="272" t="s">
        <v>348</v>
      </c>
      <c r="C624" s="272"/>
      <c r="D624" s="272"/>
      <c r="E624" s="272"/>
      <c r="F624" s="272"/>
      <c r="G624" s="272"/>
      <c r="H624" s="272"/>
      <c r="I624" s="272"/>
      <c r="J624" s="272"/>
      <c r="K624" s="272"/>
      <c r="L624" s="272"/>
      <c r="M624" s="272"/>
      <c r="N624" s="157"/>
    </row>
    <row r="625" spans="1:14" ht="20" customHeight="1" x14ac:dyDescent="0.3">
      <c r="A625" s="21"/>
      <c r="B625" s="167" t="s">
        <v>375</v>
      </c>
      <c r="C625" s="166"/>
      <c r="D625" s="39"/>
      <c r="E625" s="39"/>
      <c r="F625" s="39"/>
      <c r="G625" s="39"/>
      <c r="H625" s="39"/>
      <c r="I625" s="39"/>
      <c r="J625" s="39"/>
      <c r="K625" s="39"/>
      <c r="L625" s="39"/>
      <c r="M625" s="39"/>
      <c r="N625" s="20"/>
    </row>
    <row r="626" spans="1:14" ht="15" customHeight="1" x14ac:dyDescent="0.3">
      <c r="A626" s="21"/>
      <c r="B626" s="173" t="str">
        <f>IF(C119="","",1)</f>
        <v/>
      </c>
      <c r="C626" s="162">
        <f t="shared" ref="C626:L626" si="8">IF($B626="",0.5,IF(AND($B626=1,BL1035=0),0,IF(AND($B626&gt;0,BL1035&gt;0),1)))</f>
        <v>0.5</v>
      </c>
      <c r="D626" s="163">
        <f t="shared" si="8"/>
        <v>0.5</v>
      </c>
      <c r="E626" s="163">
        <f t="shared" si="8"/>
        <v>0.5</v>
      </c>
      <c r="F626" s="163">
        <f t="shared" si="8"/>
        <v>0.5</v>
      </c>
      <c r="G626" s="163">
        <f t="shared" si="8"/>
        <v>0.5</v>
      </c>
      <c r="H626" s="163">
        <f t="shared" si="8"/>
        <v>0.5</v>
      </c>
      <c r="I626" s="163">
        <f t="shared" si="8"/>
        <v>0.5</v>
      </c>
      <c r="J626" s="163">
        <f t="shared" si="8"/>
        <v>0.5</v>
      </c>
      <c r="K626" s="163">
        <f t="shared" si="8"/>
        <v>0.5</v>
      </c>
      <c r="L626" s="164">
        <f t="shared" si="8"/>
        <v>0.5</v>
      </c>
      <c r="M626" s="159" t="str">
        <f>IF(B626="","",BV1035)</f>
        <v/>
      </c>
      <c r="N626" s="20"/>
    </row>
    <row r="627" spans="1:14" ht="45" customHeight="1" x14ac:dyDescent="0.3">
      <c r="A627" s="21"/>
      <c r="B627" s="271" t="str">
        <f>IF(B626="","",CP1035)</f>
        <v/>
      </c>
      <c r="C627" s="271"/>
      <c r="D627" s="271"/>
      <c r="E627" s="271"/>
      <c r="F627" s="271"/>
      <c r="G627" s="271"/>
      <c r="H627" s="271"/>
      <c r="I627" s="271"/>
      <c r="J627" s="271"/>
      <c r="K627" s="271"/>
      <c r="L627" s="271"/>
      <c r="M627" s="271"/>
      <c r="N627" s="20"/>
    </row>
    <row r="628" spans="1:14" ht="15" customHeight="1" x14ac:dyDescent="0.3">
      <c r="A628" s="21"/>
      <c r="B628" s="173" t="str">
        <f>IF(C120="","",2)</f>
        <v/>
      </c>
      <c r="C628" s="162">
        <f t="shared" ref="C628:L628" si="9">IF($B628="",0.5,IF(AND($B628=2,BL1036=0),0,IF(AND($B628&gt;0,BL1036&gt;0),1)))</f>
        <v>0.5</v>
      </c>
      <c r="D628" s="163">
        <f t="shared" si="9"/>
        <v>0.5</v>
      </c>
      <c r="E628" s="163">
        <f t="shared" si="9"/>
        <v>0.5</v>
      </c>
      <c r="F628" s="163">
        <f t="shared" si="9"/>
        <v>0.5</v>
      </c>
      <c r="G628" s="163">
        <f t="shared" si="9"/>
        <v>0.5</v>
      </c>
      <c r="H628" s="163">
        <f t="shared" si="9"/>
        <v>0.5</v>
      </c>
      <c r="I628" s="163">
        <f t="shared" si="9"/>
        <v>0.5</v>
      </c>
      <c r="J628" s="163">
        <f t="shared" si="9"/>
        <v>0.5</v>
      </c>
      <c r="K628" s="163">
        <f t="shared" si="9"/>
        <v>0.5</v>
      </c>
      <c r="L628" s="164">
        <f t="shared" si="9"/>
        <v>0.5</v>
      </c>
      <c r="M628" s="159" t="str">
        <f>IF(B628="","",BV1036)</f>
        <v/>
      </c>
      <c r="N628" s="20"/>
    </row>
    <row r="629" spans="1:14" ht="45" customHeight="1" x14ac:dyDescent="0.3">
      <c r="A629" s="21"/>
      <c r="B629" s="271" t="str">
        <f>IF(B628="","",CP1036)</f>
        <v/>
      </c>
      <c r="C629" s="271"/>
      <c r="D629" s="271"/>
      <c r="E629" s="271"/>
      <c r="F629" s="271"/>
      <c r="G629" s="271"/>
      <c r="H629" s="271"/>
      <c r="I629" s="271"/>
      <c r="J629" s="271"/>
      <c r="K629" s="271"/>
      <c r="L629" s="271"/>
      <c r="M629" s="271"/>
      <c r="N629" s="20"/>
    </row>
    <row r="630" spans="1:14" ht="15" customHeight="1" x14ac:dyDescent="0.3">
      <c r="A630" s="21"/>
      <c r="B630" s="173" t="str">
        <f>IF(C121="","",3)</f>
        <v/>
      </c>
      <c r="C630" s="162">
        <f t="shared" ref="C630:L630" si="10">IF($B630="",0.5,IF(AND($B630=3,BL1037=0),0,IF(AND($B630&gt;0,BL1037&gt;0),1)))</f>
        <v>0.5</v>
      </c>
      <c r="D630" s="163">
        <f t="shared" si="10"/>
        <v>0.5</v>
      </c>
      <c r="E630" s="163">
        <f t="shared" si="10"/>
        <v>0.5</v>
      </c>
      <c r="F630" s="163">
        <f t="shared" si="10"/>
        <v>0.5</v>
      </c>
      <c r="G630" s="163">
        <f t="shared" si="10"/>
        <v>0.5</v>
      </c>
      <c r="H630" s="163">
        <f t="shared" si="10"/>
        <v>0.5</v>
      </c>
      <c r="I630" s="163">
        <f t="shared" si="10"/>
        <v>0.5</v>
      </c>
      <c r="J630" s="163">
        <f t="shared" si="10"/>
        <v>0.5</v>
      </c>
      <c r="K630" s="163">
        <f t="shared" si="10"/>
        <v>0.5</v>
      </c>
      <c r="L630" s="164">
        <f t="shared" si="10"/>
        <v>0.5</v>
      </c>
      <c r="M630" s="159" t="str">
        <f>IF(B630="","",BV1037)</f>
        <v/>
      </c>
      <c r="N630" s="20"/>
    </row>
    <row r="631" spans="1:14" ht="45" customHeight="1" x14ac:dyDescent="0.3">
      <c r="A631" s="21"/>
      <c r="B631" s="271" t="str">
        <f>IF(B630="","",CP1037)</f>
        <v/>
      </c>
      <c r="C631" s="271"/>
      <c r="D631" s="271"/>
      <c r="E631" s="271"/>
      <c r="F631" s="271"/>
      <c r="G631" s="271"/>
      <c r="H631" s="271"/>
      <c r="I631" s="271"/>
      <c r="J631" s="271"/>
      <c r="K631" s="271"/>
      <c r="L631" s="271"/>
      <c r="M631" s="271"/>
      <c r="N631" s="20"/>
    </row>
    <row r="632" spans="1:14" ht="15" customHeight="1" x14ac:dyDescent="0.3">
      <c r="A632" s="21"/>
      <c r="B632" s="173" t="str">
        <f>IF(C122="","",4)</f>
        <v/>
      </c>
      <c r="C632" s="162">
        <f t="shared" ref="C632:L632" si="11">IF($B632="",0.5,IF(AND($B632=4,BL1038=0),0,IF(AND($B632&gt;0,BL1038&gt;0),1)))</f>
        <v>0.5</v>
      </c>
      <c r="D632" s="163">
        <f t="shared" si="11"/>
        <v>0.5</v>
      </c>
      <c r="E632" s="163">
        <f t="shared" si="11"/>
        <v>0.5</v>
      </c>
      <c r="F632" s="163">
        <f t="shared" si="11"/>
        <v>0.5</v>
      </c>
      <c r="G632" s="163">
        <f t="shared" si="11"/>
        <v>0.5</v>
      </c>
      <c r="H632" s="163">
        <f t="shared" si="11"/>
        <v>0.5</v>
      </c>
      <c r="I632" s="163">
        <f t="shared" si="11"/>
        <v>0.5</v>
      </c>
      <c r="J632" s="163">
        <f t="shared" si="11"/>
        <v>0.5</v>
      </c>
      <c r="K632" s="163">
        <f t="shared" si="11"/>
        <v>0.5</v>
      </c>
      <c r="L632" s="164">
        <f t="shared" si="11"/>
        <v>0.5</v>
      </c>
      <c r="M632" s="159" t="str">
        <f>IF(B632="","",BV1038)</f>
        <v/>
      </c>
      <c r="N632" s="20"/>
    </row>
    <row r="633" spans="1:14" ht="45" customHeight="1" x14ac:dyDescent="0.3">
      <c r="A633" s="21"/>
      <c r="B633" s="271" t="str">
        <f>IF(B632="","",CP1038)</f>
        <v/>
      </c>
      <c r="C633" s="271"/>
      <c r="D633" s="271"/>
      <c r="E633" s="271"/>
      <c r="F633" s="271"/>
      <c r="G633" s="271"/>
      <c r="H633" s="271"/>
      <c r="I633" s="271"/>
      <c r="J633" s="271"/>
      <c r="K633" s="271"/>
      <c r="L633" s="271"/>
      <c r="M633" s="271"/>
      <c r="N633" s="20"/>
    </row>
    <row r="634" spans="1:14" ht="15" customHeight="1" x14ac:dyDescent="0.3">
      <c r="A634" s="21"/>
      <c r="B634" s="173" t="str">
        <f>IF(C123="","",5)</f>
        <v/>
      </c>
      <c r="C634" s="162">
        <f t="shared" ref="C634:L634" si="12">IF($B634="",0.5,IF(AND($B634=5,BL1039=0),0,IF(AND($B634&gt;0,BL1039&gt;0),1)))</f>
        <v>0.5</v>
      </c>
      <c r="D634" s="163">
        <f t="shared" si="12"/>
        <v>0.5</v>
      </c>
      <c r="E634" s="163">
        <f t="shared" si="12"/>
        <v>0.5</v>
      </c>
      <c r="F634" s="163">
        <f t="shared" si="12"/>
        <v>0.5</v>
      </c>
      <c r="G634" s="163">
        <f t="shared" si="12"/>
        <v>0.5</v>
      </c>
      <c r="H634" s="163">
        <f t="shared" si="12"/>
        <v>0.5</v>
      </c>
      <c r="I634" s="163">
        <f t="shared" si="12"/>
        <v>0.5</v>
      </c>
      <c r="J634" s="163">
        <f t="shared" si="12"/>
        <v>0.5</v>
      </c>
      <c r="K634" s="163">
        <f t="shared" si="12"/>
        <v>0.5</v>
      </c>
      <c r="L634" s="164">
        <f t="shared" si="12"/>
        <v>0.5</v>
      </c>
      <c r="M634" s="159" t="str">
        <f>IF(B634="","",BV1039)</f>
        <v/>
      </c>
      <c r="N634" s="20"/>
    </row>
    <row r="635" spans="1:14" ht="45" customHeight="1" x14ac:dyDescent="0.3">
      <c r="A635" s="21"/>
      <c r="B635" s="271" t="str">
        <f>IF(B634="","",CP1039)</f>
        <v/>
      </c>
      <c r="C635" s="271"/>
      <c r="D635" s="271"/>
      <c r="E635" s="271"/>
      <c r="F635" s="271"/>
      <c r="G635" s="271"/>
      <c r="H635" s="271"/>
      <c r="I635" s="271"/>
      <c r="J635" s="271"/>
      <c r="K635" s="271"/>
      <c r="L635" s="271"/>
      <c r="M635" s="271"/>
      <c r="N635" s="20"/>
    </row>
    <row r="636" spans="1:14" ht="15" customHeight="1" x14ac:dyDescent="0.3">
      <c r="A636" s="21"/>
      <c r="B636" s="173" t="str">
        <f>IF(C124="","",6)</f>
        <v/>
      </c>
      <c r="C636" s="162">
        <f t="shared" ref="C636:L636" si="13">IF($B636="",0.5,IF(AND($B636=6,BL1040=0),0,IF(AND($B636&gt;0,BL1040&gt;0),1)))</f>
        <v>0.5</v>
      </c>
      <c r="D636" s="163">
        <f t="shared" si="13"/>
        <v>0.5</v>
      </c>
      <c r="E636" s="163">
        <f t="shared" si="13"/>
        <v>0.5</v>
      </c>
      <c r="F636" s="163">
        <f t="shared" si="13"/>
        <v>0.5</v>
      </c>
      <c r="G636" s="163">
        <f t="shared" si="13"/>
        <v>0.5</v>
      </c>
      <c r="H636" s="163">
        <f t="shared" si="13"/>
        <v>0.5</v>
      </c>
      <c r="I636" s="163">
        <f t="shared" si="13"/>
        <v>0.5</v>
      </c>
      <c r="J636" s="163">
        <f t="shared" si="13"/>
        <v>0.5</v>
      </c>
      <c r="K636" s="163">
        <f t="shared" si="13"/>
        <v>0.5</v>
      </c>
      <c r="L636" s="164">
        <f t="shared" si="13"/>
        <v>0.5</v>
      </c>
      <c r="M636" s="159" t="str">
        <f>IF(B636="","",BV1040)</f>
        <v/>
      </c>
      <c r="N636" s="20"/>
    </row>
    <row r="637" spans="1:14" ht="45" customHeight="1" x14ac:dyDescent="0.3">
      <c r="A637" s="21"/>
      <c r="B637" s="271" t="str">
        <f>IF(B636="","",CP1040)</f>
        <v/>
      </c>
      <c r="C637" s="271"/>
      <c r="D637" s="271"/>
      <c r="E637" s="271"/>
      <c r="F637" s="271"/>
      <c r="G637" s="271"/>
      <c r="H637" s="271"/>
      <c r="I637" s="271"/>
      <c r="J637" s="271"/>
      <c r="K637" s="271"/>
      <c r="L637" s="271"/>
      <c r="M637" s="271"/>
      <c r="N637" s="20"/>
    </row>
    <row r="638" spans="1:14" ht="15" customHeight="1" x14ac:dyDescent="0.3">
      <c r="A638" s="21"/>
      <c r="B638" s="173" t="str">
        <f>IF(C125="","",7)</f>
        <v/>
      </c>
      <c r="C638" s="162">
        <f t="shared" ref="C638:L638" si="14">IF($B638="",0.5,IF(AND($B638=7,BL1041=0),0,IF(AND($B638&gt;0,BL1041&gt;0),1)))</f>
        <v>0.5</v>
      </c>
      <c r="D638" s="163">
        <f t="shared" si="14"/>
        <v>0.5</v>
      </c>
      <c r="E638" s="163">
        <f t="shared" si="14"/>
        <v>0.5</v>
      </c>
      <c r="F638" s="163">
        <f t="shared" si="14"/>
        <v>0.5</v>
      </c>
      <c r="G638" s="163">
        <f t="shared" si="14"/>
        <v>0.5</v>
      </c>
      <c r="H638" s="163">
        <f t="shared" si="14"/>
        <v>0.5</v>
      </c>
      <c r="I638" s="163">
        <f t="shared" si="14"/>
        <v>0.5</v>
      </c>
      <c r="J638" s="163">
        <f t="shared" si="14"/>
        <v>0.5</v>
      </c>
      <c r="K638" s="163">
        <f t="shared" si="14"/>
        <v>0.5</v>
      </c>
      <c r="L638" s="164">
        <f t="shared" si="14"/>
        <v>0.5</v>
      </c>
      <c r="M638" s="159" t="str">
        <f>IF(B638="","",BV1041)</f>
        <v/>
      </c>
      <c r="N638" s="20"/>
    </row>
    <row r="639" spans="1:14" ht="45" customHeight="1" x14ac:dyDescent="0.3">
      <c r="A639" s="21"/>
      <c r="B639" s="271" t="str">
        <f>IF(B638="","",CP1041)</f>
        <v/>
      </c>
      <c r="C639" s="271"/>
      <c r="D639" s="271"/>
      <c r="E639" s="271"/>
      <c r="F639" s="271"/>
      <c r="G639" s="271"/>
      <c r="H639" s="271"/>
      <c r="I639" s="271"/>
      <c r="J639" s="271"/>
      <c r="K639" s="271"/>
      <c r="L639" s="271"/>
      <c r="M639" s="271"/>
      <c r="N639" s="20"/>
    </row>
    <row r="640" spans="1:14" ht="15" customHeight="1" x14ac:dyDescent="0.3">
      <c r="A640" s="21"/>
      <c r="B640" s="173" t="str">
        <f>IF(C126="","",8)</f>
        <v/>
      </c>
      <c r="C640" s="162">
        <f t="shared" ref="C640:L640" si="15">IF($B640="",0.5,IF(AND($B640=8,BL1042=0),0,IF(AND($B640&gt;0,BL1042&gt;0),1)))</f>
        <v>0.5</v>
      </c>
      <c r="D640" s="163">
        <f t="shared" si="15"/>
        <v>0.5</v>
      </c>
      <c r="E640" s="163">
        <f t="shared" si="15"/>
        <v>0.5</v>
      </c>
      <c r="F640" s="163">
        <f t="shared" si="15"/>
        <v>0.5</v>
      </c>
      <c r="G640" s="163">
        <f t="shared" si="15"/>
        <v>0.5</v>
      </c>
      <c r="H640" s="163">
        <f t="shared" si="15"/>
        <v>0.5</v>
      </c>
      <c r="I640" s="163">
        <f t="shared" si="15"/>
        <v>0.5</v>
      </c>
      <c r="J640" s="163">
        <f t="shared" si="15"/>
        <v>0.5</v>
      </c>
      <c r="K640" s="163">
        <f t="shared" si="15"/>
        <v>0.5</v>
      </c>
      <c r="L640" s="164">
        <f t="shared" si="15"/>
        <v>0.5</v>
      </c>
      <c r="M640" s="159" t="str">
        <f>IF(B640="","",BV1042)</f>
        <v/>
      </c>
      <c r="N640" s="20"/>
    </row>
    <row r="641" spans="1:14" ht="45" customHeight="1" x14ac:dyDescent="0.3">
      <c r="A641" s="21"/>
      <c r="B641" s="271" t="str">
        <f>IF(B640="","",CP1042)</f>
        <v/>
      </c>
      <c r="C641" s="271"/>
      <c r="D641" s="271"/>
      <c r="E641" s="271"/>
      <c r="F641" s="271"/>
      <c r="G641" s="271"/>
      <c r="H641" s="271"/>
      <c r="I641" s="271"/>
      <c r="J641" s="271"/>
      <c r="K641" s="271"/>
      <c r="L641" s="271"/>
      <c r="M641" s="271"/>
      <c r="N641" s="20"/>
    </row>
    <row r="642" spans="1:14" ht="15" customHeight="1" x14ac:dyDescent="0.3">
      <c r="A642" s="21"/>
      <c r="B642" s="173" t="str">
        <f>IF(C127="","",9)</f>
        <v/>
      </c>
      <c r="C642" s="162">
        <f t="shared" ref="C642:L642" si="16">IF($B642="",0.5,IF(AND($B642=9,BL1043=0),0,IF(AND($B642&gt;0,BL1043&gt;0),1)))</f>
        <v>0.5</v>
      </c>
      <c r="D642" s="163">
        <f t="shared" si="16"/>
        <v>0.5</v>
      </c>
      <c r="E642" s="163">
        <f t="shared" si="16"/>
        <v>0.5</v>
      </c>
      <c r="F642" s="163">
        <f t="shared" si="16"/>
        <v>0.5</v>
      </c>
      <c r="G642" s="163">
        <f t="shared" si="16"/>
        <v>0.5</v>
      </c>
      <c r="H642" s="163">
        <f t="shared" si="16"/>
        <v>0.5</v>
      </c>
      <c r="I642" s="163">
        <f t="shared" si="16"/>
        <v>0.5</v>
      </c>
      <c r="J642" s="163">
        <f t="shared" si="16"/>
        <v>0.5</v>
      </c>
      <c r="K642" s="163">
        <f t="shared" si="16"/>
        <v>0.5</v>
      </c>
      <c r="L642" s="164">
        <f t="shared" si="16"/>
        <v>0.5</v>
      </c>
      <c r="M642" s="159" t="str">
        <f>IF(B642="","",BV1043)</f>
        <v/>
      </c>
      <c r="N642" s="20"/>
    </row>
    <row r="643" spans="1:14" ht="45" customHeight="1" x14ac:dyDescent="0.3">
      <c r="A643" s="21"/>
      <c r="B643" s="271" t="str">
        <f>IF(B642="","",CP1043)</f>
        <v/>
      </c>
      <c r="C643" s="271"/>
      <c r="D643" s="271"/>
      <c r="E643" s="271"/>
      <c r="F643" s="271"/>
      <c r="G643" s="271"/>
      <c r="H643" s="271"/>
      <c r="I643" s="271"/>
      <c r="J643" s="271"/>
      <c r="K643" s="271"/>
      <c r="L643" s="271"/>
      <c r="M643" s="271"/>
      <c r="N643" s="20"/>
    </row>
    <row r="644" spans="1:14" ht="15" customHeight="1" x14ac:dyDescent="0.3">
      <c r="A644" s="21"/>
      <c r="B644" s="173" t="str">
        <f>IF(C128="","",10)</f>
        <v/>
      </c>
      <c r="C644" s="162">
        <f t="shared" ref="C644:L644" si="17">IF($B644="",0.5,IF(AND($B644=10,BL1044=0),0,IF(AND($B644&gt;0,BL1044&gt;0),1)))</f>
        <v>0.5</v>
      </c>
      <c r="D644" s="163">
        <f t="shared" si="17"/>
        <v>0.5</v>
      </c>
      <c r="E644" s="163">
        <f t="shared" si="17"/>
        <v>0.5</v>
      </c>
      <c r="F644" s="163">
        <f t="shared" si="17"/>
        <v>0.5</v>
      </c>
      <c r="G644" s="163">
        <f t="shared" si="17"/>
        <v>0.5</v>
      </c>
      <c r="H644" s="163">
        <f t="shared" si="17"/>
        <v>0.5</v>
      </c>
      <c r="I644" s="163">
        <f t="shared" si="17"/>
        <v>0.5</v>
      </c>
      <c r="J644" s="163">
        <f t="shared" si="17"/>
        <v>0.5</v>
      </c>
      <c r="K644" s="163">
        <f t="shared" si="17"/>
        <v>0.5</v>
      </c>
      <c r="L644" s="164">
        <f t="shared" si="17"/>
        <v>0.5</v>
      </c>
      <c r="M644" s="159" t="str">
        <f>IF(B644="","",BV1044)</f>
        <v/>
      </c>
      <c r="N644" s="20"/>
    </row>
    <row r="645" spans="1:14" ht="45" customHeight="1" x14ac:dyDescent="0.3">
      <c r="A645" s="21"/>
      <c r="B645" s="271" t="str">
        <f>IF(B644="","",CP1044)</f>
        <v/>
      </c>
      <c r="C645" s="271"/>
      <c r="D645" s="271"/>
      <c r="E645" s="271"/>
      <c r="F645" s="271"/>
      <c r="G645" s="271"/>
      <c r="H645" s="271"/>
      <c r="I645" s="271"/>
      <c r="J645" s="271"/>
      <c r="K645" s="271"/>
      <c r="L645" s="271"/>
      <c r="M645" s="271"/>
      <c r="N645" s="20"/>
    </row>
    <row r="646" spans="1:14" ht="10" customHeight="1" x14ac:dyDescent="0.3">
      <c r="A646" s="21"/>
      <c r="B646" s="158"/>
      <c r="C646" s="158"/>
      <c r="D646" s="158"/>
      <c r="E646" s="158"/>
      <c r="F646" s="158"/>
      <c r="G646" s="158"/>
      <c r="H646" s="158"/>
      <c r="I646" s="158"/>
      <c r="J646" s="158"/>
      <c r="K646" s="158"/>
      <c r="L646" s="158"/>
      <c r="M646" s="158"/>
      <c r="N646" s="20"/>
    </row>
    <row r="647" spans="1:14" ht="30" customHeight="1" x14ac:dyDescent="0.3">
      <c r="A647" s="47"/>
      <c r="B647" s="277" t="s">
        <v>398</v>
      </c>
      <c r="C647" s="277"/>
      <c r="D647" s="277"/>
      <c r="E647" s="277"/>
      <c r="F647" s="277"/>
      <c r="G647" s="277"/>
      <c r="H647" s="277"/>
      <c r="I647" s="277"/>
      <c r="J647" s="277"/>
      <c r="K647" s="277"/>
      <c r="L647" s="277"/>
      <c r="M647" s="277"/>
      <c r="N647" s="48"/>
    </row>
    <row r="648" spans="1:14" ht="10" customHeight="1" x14ac:dyDescent="0.3">
      <c r="A648" s="21"/>
      <c r="B648" s="160"/>
      <c r="C648" s="39"/>
      <c r="D648" s="39"/>
      <c r="E648" s="39"/>
      <c r="F648" s="39"/>
      <c r="G648" s="39"/>
      <c r="H648" s="39"/>
      <c r="I648" s="39"/>
      <c r="J648" s="39"/>
      <c r="K648" s="39"/>
      <c r="L648" s="39"/>
      <c r="M648" s="159"/>
      <c r="N648" s="20"/>
    </row>
    <row r="649" spans="1:14" ht="15" customHeight="1" x14ac:dyDescent="0.3">
      <c r="A649" s="21"/>
      <c r="B649" s="173" t="str">
        <f>IF(C129="","",11)</f>
        <v/>
      </c>
      <c r="C649" s="162">
        <f t="shared" ref="C649:L649" si="18">IF($B649="",0.5,IF(AND($B649=11,BL1045=0),0,IF(AND($B649&gt;0,BL1045&gt;0),1)))</f>
        <v>0.5</v>
      </c>
      <c r="D649" s="163">
        <f t="shared" si="18"/>
        <v>0.5</v>
      </c>
      <c r="E649" s="163">
        <f t="shared" si="18"/>
        <v>0.5</v>
      </c>
      <c r="F649" s="163">
        <f t="shared" si="18"/>
        <v>0.5</v>
      </c>
      <c r="G649" s="163">
        <f t="shared" si="18"/>
        <v>0.5</v>
      </c>
      <c r="H649" s="163">
        <f t="shared" si="18"/>
        <v>0.5</v>
      </c>
      <c r="I649" s="163">
        <f t="shared" si="18"/>
        <v>0.5</v>
      </c>
      <c r="J649" s="163">
        <f t="shared" si="18"/>
        <v>0.5</v>
      </c>
      <c r="K649" s="163">
        <f t="shared" si="18"/>
        <v>0.5</v>
      </c>
      <c r="L649" s="164">
        <f t="shared" si="18"/>
        <v>0.5</v>
      </c>
      <c r="M649" s="159" t="str">
        <f>IF(B649="","",BV1045)</f>
        <v/>
      </c>
      <c r="N649" s="20"/>
    </row>
    <row r="650" spans="1:14" ht="45" customHeight="1" x14ac:dyDescent="0.3">
      <c r="A650" s="21"/>
      <c r="B650" s="271" t="str">
        <f>IF(B649="","",CP1045)</f>
        <v/>
      </c>
      <c r="C650" s="271"/>
      <c r="D650" s="271"/>
      <c r="E650" s="271"/>
      <c r="F650" s="271"/>
      <c r="G650" s="271"/>
      <c r="H650" s="271"/>
      <c r="I650" s="271"/>
      <c r="J650" s="271"/>
      <c r="K650" s="271"/>
      <c r="L650" s="271"/>
      <c r="M650" s="271"/>
      <c r="N650" s="20"/>
    </row>
    <row r="651" spans="1:14" ht="15" customHeight="1" x14ac:dyDescent="0.3">
      <c r="A651" s="21"/>
      <c r="B651" s="173" t="str">
        <f>IF(C130="","",12)</f>
        <v/>
      </c>
      <c r="C651" s="162">
        <f t="shared" ref="C651:L651" si="19">IF($B651="",0.5,IF(AND($B651=12,BL1046=0),0,IF(AND($B651&gt;0,BL1046&gt;0),1)))</f>
        <v>0.5</v>
      </c>
      <c r="D651" s="163">
        <f t="shared" si="19"/>
        <v>0.5</v>
      </c>
      <c r="E651" s="163">
        <f t="shared" si="19"/>
        <v>0.5</v>
      </c>
      <c r="F651" s="163">
        <f t="shared" si="19"/>
        <v>0.5</v>
      </c>
      <c r="G651" s="163">
        <f t="shared" si="19"/>
        <v>0.5</v>
      </c>
      <c r="H651" s="163">
        <f t="shared" si="19"/>
        <v>0.5</v>
      </c>
      <c r="I651" s="163">
        <f t="shared" si="19"/>
        <v>0.5</v>
      </c>
      <c r="J651" s="163">
        <f t="shared" si="19"/>
        <v>0.5</v>
      </c>
      <c r="K651" s="163">
        <f t="shared" si="19"/>
        <v>0.5</v>
      </c>
      <c r="L651" s="164">
        <f t="shared" si="19"/>
        <v>0.5</v>
      </c>
      <c r="M651" s="159" t="str">
        <f>IF(B651="","",BV1046)</f>
        <v/>
      </c>
      <c r="N651" s="20"/>
    </row>
    <row r="652" spans="1:14" ht="45" customHeight="1" x14ac:dyDescent="0.3">
      <c r="A652" s="21"/>
      <c r="B652" s="271" t="str">
        <f>IF(B651="","",CP1046)</f>
        <v/>
      </c>
      <c r="C652" s="271"/>
      <c r="D652" s="271"/>
      <c r="E652" s="271"/>
      <c r="F652" s="271"/>
      <c r="G652" s="271"/>
      <c r="H652" s="271"/>
      <c r="I652" s="271"/>
      <c r="J652" s="271"/>
      <c r="K652" s="271"/>
      <c r="L652" s="271"/>
      <c r="M652" s="271"/>
      <c r="N652" s="20"/>
    </row>
    <row r="653" spans="1:14" ht="15" customHeight="1" x14ac:dyDescent="0.3">
      <c r="A653" s="21"/>
      <c r="B653" s="173" t="str">
        <f>IF(C131="","",13)</f>
        <v/>
      </c>
      <c r="C653" s="162">
        <f t="shared" ref="C653:L653" si="20">IF($B653="",0.5,IF(AND($B653=13,BL1047=0),0,IF(AND($B653&gt;0,BL1047&gt;0),1)))</f>
        <v>0.5</v>
      </c>
      <c r="D653" s="163">
        <f t="shared" si="20"/>
        <v>0.5</v>
      </c>
      <c r="E653" s="163">
        <f t="shared" si="20"/>
        <v>0.5</v>
      </c>
      <c r="F653" s="163">
        <f t="shared" si="20"/>
        <v>0.5</v>
      </c>
      <c r="G653" s="163">
        <f t="shared" si="20"/>
        <v>0.5</v>
      </c>
      <c r="H653" s="163">
        <f t="shared" si="20"/>
        <v>0.5</v>
      </c>
      <c r="I653" s="163">
        <f t="shared" si="20"/>
        <v>0.5</v>
      </c>
      <c r="J653" s="163">
        <f t="shared" si="20"/>
        <v>0.5</v>
      </c>
      <c r="K653" s="163">
        <f t="shared" si="20"/>
        <v>0.5</v>
      </c>
      <c r="L653" s="164">
        <f t="shared" si="20"/>
        <v>0.5</v>
      </c>
      <c r="M653" s="159" t="str">
        <f>IF(B653="","",BV1047)</f>
        <v/>
      </c>
      <c r="N653" s="20"/>
    </row>
    <row r="654" spans="1:14" ht="45" customHeight="1" x14ac:dyDescent="0.3">
      <c r="A654" s="21"/>
      <c r="B654" s="271" t="str">
        <f>IF(B653="","",CP1047)</f>
        <v/>
      </c>
      <c r="C654" s="271"/>
      <c r="D654" s="271"/>
      <c r="E654" s="271"/>
      <c r="F654" s="271"/>
      <c r="G654" s="271"/>
      <c r="H654" s="271"/>
      <c r="I654" s="271"/>
      <c r="J654" s="271"/>
      <c r="K654" s="271"/>
      <c r="L654" s="271"/>
      <c r="M654" s="271"/>
      <c r="N654" s="20"/>
    </row>
    <row r="655" spans="1:14" ht="15" customHeight="1" x14ac:dyDescent="0.3">
      <c r="A655" s="21"/>
      <c r="B655" s="173" t="str">
        <f>IF(C132="","",14)</f>
        <v/>
      </c>
      <c r="C655" s="162">
        <f t="shared" ref="C655:L655" si="21">IF($B655="",0.5,IF(AND($B655=14,BL1048=0),0,IF(AND($B655&gt;0,BL1048&gt;0),1)))</f>
        <v>0.5</v>
      </c>
      <c r="D655" s="163">
        <f t="shared" si="21"/>
        <v>0.5</v>
      </c>
      <c r="E655" s="163">
        <f t="shared" si="21"/>
        <v>0.5</v>
      </c>
      <c r="F655" s="163">
        <f t="shared" si="21"/>
        <v>0.5</v>
      </c>
      <c r="G655" s="163">
        <f t="shared" si="21"/>
        <v>0.5</v>
      </c>
      <c r="H655" s="163">
        <f t="shared" si="21"/>
        <v>0.5</v>
      </c>
      <c r="I655" s="163">
        <f t="shared" si="21"/>
        <v>0.5</v>
      </c>
      <c r="J655" s="163">
        <f t="shared" si="21"/>
        <v>0.5</v>
      </c>
      <c r="K655" s="163">
        <f t="shared" si="21"/>
        <v>0.5</v>
      </c>
      <c r="L655" s="164">
        <f t="shared" si="21"/>
        <v>0.5</v>
      </c>
      <c r="M655" s="159" t="str">
        <f>IF(B655="","",BV1048)</f>
        <v/>
      </c>
      <c r="N655" s="20"/>
    </row>
    <row r="656" spans="1:14" ht="45" customHeight="1" x14ac:dyDescent="0.3">
      <c r="A656" s="21"/>
      <c r="B656" s="271" t="str">
        <f>IF(B655="","",CP1048)</f>
        <v/>
      </c>
      <c r="C656" s="271"/>
      <c r="D656" s="271"/>
      <c r="E656" s="271"/>
      <c r="F656" s="271"/>
      <c r="G656" s="271"/>
      <c r="H656" s="271"/>
      <c r="I656" s="271"/>
      <c r="J656" s="271"/>
      <c r="K656" s="271"/>
      <c r="L656" s="271"/>
      <c r="M656" s="271"/>
      <c r="N656" s="20"/>
    </row>
    <row r="657" spans="1:14" ht="15" customHeight="1" x14ac:dyDescent="0.3">
      <c r="A657" s="21"/>
      <c r="B657" s="173" t="str">
        <f>IF(C133="","",15)</f>
        <v/>
      </c>
      <c r="C657" s="162">
        <f t="shared" ref="C657:L657" si="22">IF($B657="",0.5,IF(AND($B657=15,BL1049=0),0,IF(AND($B657&gt;0,BL1049&gt;0),1)))</f>
        <v>0.5</v>
      </c>
      <c r="D657" s="163">
        <f t="shared" si="22"/>
        <v>0.5</v>
      </c>
      <c r="E657" s="163">
        <f t="shared" si="22"/>
        <v>0.5</v>
      </c>
      <c r="F657" s="163">
        <f t="shared" si="22"/>
        <v>0.5</v>
      </c>
      <c r="G657" s="163">
        <f t="shared" si="22"/>
        <v>0.5</v>
      </c>
      <c r="H657" s="163">
        <f t="shared" si="22"/>
        <v>0.5</v>
      </c>
      <c r="I657" s="163">
        <f t="shared" si="22"/>
        <v>0.5</v>
      </c>
      <c r="J657" s="163">
        <f t="shared" si="22"/>
        <v>0.5</v>
      </c>
      <c r="K657" s="163">
        <f t="shared" si="22"/>
        <v>0.5</v>
      </c>
      <c r="L657" s="164">
        <f t="shared" si="22"/>
        <v>0.5</v>
      </c>
      <c r="M657" s="159" t="str">
        <f>IF(B657="","",BV1049)</f>
        <v/>
      </c>
      <c r="N657" s="20"/>
    </row>
    <row r="658" spans="1:14" ht="45" customHeight="1" x14ac:dyDescent="0.3">
      <c r="A658" s="21"/>
      <c r="B658" s="271" t="str">
        <f>IF(B657="","",CP1049)</f>
        <v/>
      </c>
      <c r="C658" s="271"/>
      <c r="D658" s="271"/>
      <c r="E658" s="271"/>
      <c r="F658" s="271"/>
      <c r="G658" s="271"/>
      <c r="H658" s="271"/>
      <c r="I658" s="271"/>
      <c r="J658" s="271"/>
      <c r="K658" s="271"/>
      <c r="L658" s="271"/>
      <c r="M658" s="271"/>
      <c r="N658" s="20"/>
    </row>
    <row r="659" spans="1:14" ht="15" customHeight="1" x14ac:dyDescent="0.3">
      <c r="A659" s="21"/>
      <c r="B659" s="173" t="str">
        <f>IF(C134="","",16)</f>
        <v/>
      </c>
      <c r="C659" s="162">
        <f t="shared" ref="C659:L659" si="23">IF($B659="",0.5,IF(AND($B659=16,BL1050=0),0,IF(AND($B659&gt;0,BL1050&gt;0),1)))</f>
        <v>0.5</v>
      </c>
      <c r="D659" s="163">
        <f t="shared" si="23"/>
        <v>0.5</v>
      </c>
      <c r="E659" s="163">
        <f t="shared" si="23"/>
        <v>0.5</v>
      </c>
      <c r="F659" s="163">
        <f t="shared" si="23"/>
        <v>0.5</v>
      </c>
      <c r="G659" s="163">
        <f t="shared" si="23"/>
        <v>0.5</v>
      </c>
      <c r="H659" s="163">
        <f t="shared" si="23"/>
        <v>0.5</v>
      </c>
      <c r="I659" s="163">
        <f t="shared" si="23"/>
        <v>0.5</v>
      </c>
      <c r="J659" s="163">
        <f t="shared" si="23"/>
        <v>0.5</v>
      </c>
      <c r="K659" s="163">
        <f t="shared" si="23"/>
        <v>0.5</v>
      </c>
      <c r="L659" s="164">
        <f t="shared" si="23"/>
        <v>0.5</v>
      </c>
      <c r="M659" s="159" t="str">
        <f>IF(B659="","",BV1050)</f>
        <v/>
      </c>
      <c r="N659" s="20"/>
    </row>
    <row r="660" spans="1:14" ht="45" customHeight="1" x14ac:dyDescent="0.3">
      <c r="A660" s="21"/>
      <c r="B660" s="271" t="str">
        <f>IF(B659="","",CP1050)</f>
        <v/>
      </c>
      <c r="C660" s="271"/>
      <c r="D660" s="271"/>
      <c r="E660" s="271"/>
      <c r="F660" s="271"/>
      <c r="G660" s="271"/>
      <c r="H660" s="271"/>
      <c r="I660" s="271"/>
      <c r="J660" s="271"/>
      <c r="K660" s="271"/>
      <c r="L660" s="271"/>
      <c r="M660" s="271"/>
      <c r="N660" s="20"/>
    </row>
    <row r="661" spans="1:14" ht="15" customHeight="1" x14ac:dyDescent="0.3">
      <c r="A661" s="21"/>
      <c r="B661" s="173" t="str">
        <f>IF(C135="","",17)</f>
        <v/>
      </c>
      <c r="C661" s="162">
        <f>IF($B661="",0.5,IF(AND($B661=17,BL1049=0),0,IF(AND($B661=17,BL1049&gt;0),1)))</f>
        <v>0.5</v>
      </c>
      <c r="D661" s="163">
        <f t="shared" ref="D661:L661" si="24">IF($B661="",0.5,IF(AND($B661=17,BM1049=0),0,IF(AND($B661&gt;0,BM1049&gt;0),1)))</f>
        <v>0.5</v>
      </c>
      <c r="E661" s="163">
        <f t="shared" si="24"/>
        <v>0.5</v>
      </c>
      <c r="F661" s="163">
        <f t="shared" si="24"/>
        <v>0.5</v>
      </c>
      <c r="G661" s="163">
        <f t="shared" si="24"/>
        <v>0.5</v>
      </c>
      <c r="H661" s="163">
        <f t="shared" si="24"/>
        <v>0.5</v>
      </c>
      <c r="I661" s="163">
        <f t="shared" si="24"/>
        <v>0.5</v>
      </c>
      <c r="J661" s="163">
        <f t="shared" si="24"/>
        <v>0.5</v>
      </c>
      <c r="K661" s="163">
        <f t="shared" si="24"/>
        <v>0.5</v>
      </c>
      <c r="L661" s="164">
        <f t="shared" si="24"/>
        <v>0.5</v>
      </c>
      <c r="M661" s="159" t="str">
        <f>IF(B661="","",BV1051)</f>
        <v/>
      </c>
      <c r="N661" s="20"/>
    </row>
    <row r="662" spans="1:14" ht="45" customHeight="1" x14ac:dyDescent="0.3">
      <c r="A662" s="21"/>
      <c r="B662" s="271" t="str">
        <f>IF(B661="","",CP1051)</f>
        <v/>
      </c>
      <c r="C662" s="271"/>
      <c r="D662" s="271"/>
      <c r="E662" s="271"/>
      <c r="F662" s="271"/>
      <c r="G662" s="271"/>
      <c r="H662" s="271"/>
      <c r="I662" s="271"/>
      <c r="J662" s="271"/>
      <c r="K662" s="271"/>
      <c r="L662" s="271"/>
      <c r="M662" s="271"/>
      <c r="N662" s="20"/>
    </row>
    <row r="663" spans="1:14" ht="15" customHeight="1" x14ac:dyDescent="0.3">
      <c r="A663" s="21"/>
      <c r="B663" s="173" t="str">
        <f>IF(C136="","",18)</f>
        <v/>
      </c>
      <c r="C663" s="162">
        <f t="shared" ref="C663:L663" si="25">IF($B663="",0.5,IF(AND($B663=18,BL1052=0),0,IF(AND($B663&gt;0,BL1052&gt;0),1)))</f>
        <v>0.5</v>
      </c>
      <c r="D663" s="163">
        <f t="shared" si="25"/>
        <v>0.5</v>
      </c>
      <c r="E663" s="163">
        <f t="shared" si="25"/>
        <v>0.5</v>
      </c>
      <c r="F663" s="163">
        <f t="shared" si="25"/>
        <v>0.5</v>
      </c>
      <c r="G663" s="163">
        <f t="shared" si="25"/>
        <v>0.5</v>
      </c>
      <c r="H663" s="163">
        <f t="shared" si="25"/>
        <v>0.5</v>
      </c>
      <c r="I663" s="163">
        <f t="shared" si="25"/>
        <v>0.5</v>
      </c>
      <c r="J663" s="163">
        <f t="shared" si="25"/>
        <v>0.5</v>
      </c>
      <c r="K663" s="163">
        <f t="shared" si="25"/>
        <v>0.5</v>
      </c>
      <c r="L663" s="164">
        <f t="shared" si="25"/>
        <v>0.5</v>
      </c>
      <c r="M663" s="159" t="str">
        <f>IF(B663="","",BV1052)</f>
        <v/>
      </c>
      <c r="N663" s="20"/>
    </row>
    <row r="664" spans="1:14" ht="45" customHeight="1" x14ac:dyDescent="0.3">
      <c r="A664" s="21"/>
      <c r="B664" s="271" t="str">
        <f>IF(B663="","",CP1052)</f>
        <v/>
      </c>
      <c r="C664" s="271"/>
      <c r="D664" s="271"/>
      <c r="E664" s="271"/>
      <c r="F664" s="271"/>
      <c r="G664" s="271"/>
      <c r="H664" s="271"/>
      <c r="I664" s="271"/>
      <c r="J664" s="271"/>
      <c r="K664" s="271"/>
      <c r="L664" s="271"/>
      <c r="M664" s="271"/>
      <c r="N664" s="20"/>
    </row>
    <row r="665" spans="1:14" ht="15" customHeight="1" x14ac:dyDescent="0.3">
      <c r="A665" s="21"/>
      <c r="B665" s="173" t="str">
        <f>IF(C137="","",19)</f>
        <v/>
      </c>
      <c r="C665" s="162">
        <f t="shared" ref="C665:L665" si="26">IF($B665="",0.5,IF(AND($B665=19,BL1053=0),0,IF(AND($B665&gt;0,BL1053&gt;0),1)))</f>
        <v>0.5</v>
      </c>
      <c r="D665" s="163">
        <f t="shared" si="26"/>
        <v>0.5</v>
      </c>
      <c r="E665" s="163">
        <f t="shared" si="26"/>
        <v>0.5</v>
      </c>
      <c r="F665" s="163">
        <f t="shared" si="26"/>
        <v>0.5</v>
      </c>
      <c r="G665" s="163">
        <f t="shared" si="26"/>
        <v>0.5</v>
      </c>
      <c r="H665" s="163">
        <f t="shared" si="26"/>
        <v>0.5</v>
      </c>
      <c r="I665" s="163">
        <f t="shared" si="26"/>
        <v>0.5</v>
      </c>
      <c r="J665" s="163">
        <f t="shared" si="26"/>
        <v>0.5</v>
      </c>
      <c r="K665" s="163">
        <f t="shared" si="26"/>
        <v>0.5</v>
      </c>
      <c r="L665" s="164">
        <f t="shared" si="26"/>
        <v>0.5</v>
      </c>
      <c r="M665" s="159" t="str">
        <f>IF(B665="","",BV1053)</f>
        <v/>
      </c>
      <c r="N665" s="20"/>
    </row>
    <row r="666" spans="1:14" ht="45" customHeight="1" x14ac:dyDescent="0.3">
      <c r="A666" s="21"/>
      <c r="B666" s="271" t="str">
        <f>IF(B665="","",CP1053)</f>
        <v/>
      </c>
      <c r="C666" s="271"/>
      <c r="D666" s="271"/>
      <c r="E666" s="271"/>
      <c r="F666" s="271"/>
      <c r="G666" s="271"/>
      <c r="H666" s="271"/>
      <c r="I666" s="271"/>
      <c r="J666" s="271"/>
      <c r="K666" s="271"/>
      <c r="L666" s="271"/>
      <c r="M666" s="271"/>
      <c r="N666" s="20"/>
    </row>
    <row r="667" spans="1:14" ht="15" customHeight="1" x14ac:dyDescent="0.3">
      <c r="A667" s="21"/>
      <c r="B667" s="173" t="str">
        <f>IF(C138="","",20)</f>
        <v/>
      </c>
      <c r="C667" s="162">
        <f t="shared" ref="C667:L667" si="27">IF($B667="",0.5,IF(AND($B667=20,BL1054=0),0,IF(AND($B667&gt;0,BL1054&gt;0),1)))</f>
        <v>0.5</v>
      </c>
      <c r="D667" s="163">
        <f t="shared" si="27"/>
        <v>0.5</v>
      </c>
      <c r="E667" s="163">
        <f t="shared" si="27"/>
        <v>0.5</v>
      </c>
      <c r="F667" s="163">
        <f t="shared" si="27"/>
        <v>0.5</v>
      </c>
      <c r="G667" s="163">
        <f t="shared" si="27"/>
        <v>0.5</v>
      </c>
      <c r="H667" s="163">
        <f t="shared" si="27"/>
        <v>0.5</v>
      </c>
      <c r="I667" s="163">
        <f t="shared" si="27"/>
        <v>0.5</v>
      </c>
      <c r="J667" s="163">
        <f t="shared" si="27"/>
        <v>0.5</v>
      </c>
      <c r="K667" s="163">
        <f t="shared" si="27"/>
        <v>0.5</v>
      </c>
      <c r="L667" s="164">
        <f t="shared" si="27"/>
        <v>0.5</v>
      </c>
      <c r="M667" s="159" t="str">
        <f>IF(B667="","",BV1054)</f>
        <v/>
      </c>
      <c r="N667" s="20"/>
    </row>
    <row r="668" spans="1:14" ht="45" customHeight="1" x14ac:dyDescent="0.3">
      <c r="A668" s="21"/>
      <c r="B668" s="271" t="str">
        <f>IF(B667="","",CP1054)</f>
        <v/>
      </c>
      <c r="C668" s="271"/>
      <c r="D668" s="271"/>
      <c r="E668" s="271"/>
      <c r="F668" s="271"/>
      <c r="G668" s="271"/>
      <c r="H668" s="271"/>
      <c r="I668" s="271"/>
      <c r="J668" s="271"/>
      <c r="K668" s="271"/>
      <c r="L668" s="271"/>
      <c r="M668" s="271"/>
      <c r="N668" s="20"/>
    </row>
    <row r="669" spans="1:14" ht="15" customHeight="1" x14ac:dyDescent="0.3">
      <c r="A669" s="21"/>
      <c r="B669" s="158"/>
      <c r="C669" s="158"/>
      <c r="D669" s="158"/>
      <c r="E669" s="158"/>
      <c r="F669" s="158"/>
      <c r="G669" s="158"/>
      <c r="H669" s="158"/>
      <c r="I669" s="158"/>
      <c r="J669" s="158"/>
      <c r="K669" s="158"/>
      <c r="L669" s="158"/>
      <c r="M669" s="158"/>
      <c r="N669" s="20"/>
    </row>
    <row r="670" spans="1:14" ht="15" customHeight="1" x14ac:dyDescent="0.3">
      <c r="A670" s="21"/>
      <c r="B670" s="275" t="str">
        <f>IF(C149="","",CP1089)</f>
        <v/>
      </c>
      <c r="C670" s="276"/>
      <c r="D670" s="276"/>
      <c r="E670" s="276"/>
      <c r="F670" s="276"/>
      <c r="G670" s="276"/>
      <c r="H670" s="276"/>
      <c r="I670" s="276"/>
      <c r="J670" s="276"/>
      <c r="K670" s="276"/>
      <c r="L670" s="276"/>
      <c r="M670" s="276"/>
      <c r="N670" s="20"/>
    </row>
    <row r="671" spans="1:14" ht="10" customHeight="1" x14ac:dyDescent="0.3">
      <c r="A671" s="21"/>
      <c r="B671" s="36"/>
      <c r="C671" s="39"/>
      <c r="D671" s="39"/>
      <c r="E671" s="39"/>
      <c r="F671" s="39"/>
      <c r="G671" s="39"/>
      <c r="H671" s="39"/>
      <c r="I671" s="39"/>
      <c r="J671" s="39"/>
      <c r="K671" s="39"/>
      <c r="L671" s="39"/>
      <c r="M671" s="39"/>
      <c r="N671" s="20"/>
    </row>
    <row r="672" spans="1:14" ht="80" customHeight="1" x14ac:dyDescent="0.3">
      <c r="A672" s="69"/>
      <c r="B672" s="265" t="s">
        <v>115</v>
      </c>
      <c r="C672" s="265"/>
      <c r="D672" s="265"/>
      <c r="E672" s="265"/>
      <c r="F672" s="265"/>
      <c r="G672" s="265"/>
      <c r="H672" s="265"/>
      <c r="I672" s="265"/>
      <c r="J672" s="265"/>
      <c r="K672" s="265"/>
      <c r="L672" s="265"/>
      <c r="M672" s="265"/>
      <c r="N672" s="70"/>
    </row>
    <row r="673" spans="1:14" ht="35" customHeight="1" x14ac:dyDescent="0.3">
      <c r="A673" s="21"/>
      <c r="B673" s="263" t="str">
        <f>C1056</f>
        <v>Engage as many contacts above to get a reliable responsiveness score.</v>
      </c>
      <c r="C673" s="263"/>
      <c r="D673" s="263"/>
      <c r="E673" s="263"/>
      <c r="F673" s="263"/>
      <c r="G673" s="263"/>
      <c r="H673" s="263"/>
      <c r="I673" s="263"/>
      <c r="J673" s="263"/>
      <c r="K673" s="263"/>
      <c r="L673" s="263"/>
      <c r="M673" s="263"/>
      <c r="N673" s="20"/>
    </row>
    <row r="674" spans="1:14" ht="55" customHeight="1" x14ac:dyDescent="0.3">
      <c r="A674" s="21"/>
      <c r="B674" s="262" t="str">
        <f>IF(L1055=0,"",C1058)</f>
        <v/>
      </c>
      <c r="C674" s="262"/>
      <c r="D674" s="262"/>
      <c r="E674" s="262"/>
      <c r="F674" s="262"/>
      <c r="G674" s="262"/>
      <c r="H674" s="262"/>
      <c r="I674" s="262"/>
      <c r="J674" s="262"/>
      <c r="K674" s="262"/>
      <c r="L674" s="262"/>
      <c r="M674" s="262"/>
      <c r="N674" s="20"/>
    </row>
    <row r="675" spans="1:14" ht="45" customHeight="1" x14ac:dyDescent="0.3">
      <c r="A675" s="21"/>
      <c r="B675" s="262" t="str">
        <f>IF(L1055=0,"",C1059)</f>
        <v/>
      </c>
      <c r="C675" s="262"/>
      <c r="D675" s="262"/>
      <c r="E675" s="262"/>
      <c r="F675" s="262"/>
      <c r="G675" s="262"/>
      <c r="H675" s="262"/>
      <c r="I675" s="262"/>
      <c r="J675" s="262"/>
      <c r="K675" s="262"/>
      <c r="L675" s="262"/>
      <c r="M675" s="262"/>
      <c r="N675" s="20"/>
    </row>
    <row r="676" spans="1:14" ht="30" customHeight="1" x14ac:dyDescent="0.3">
      <c r="A676" s="21"/>
      <c r="B676" s="262" t="str">
        <f>IF(L1055=0,"",C1060)</f>
        <v/>
      </c>
      <c r="C676" s="262"/>
      <c r="D676" s="262"/>
      <c r="E676" s="262"/>
      <c r="F676" s="262"/>
      <c r="G676" s="262"/>
      <c r="H676" s="262"/>
      <c r="I676" s="262"/>
      <c r="J676" s="262"/>
      <c r="K676" s="262"/>
      <c r="L676" s="262"/>
      <c r="M676" s="262"/>
      <c r="N676" s="20"/>
    </row>
    <row r="677" spans="1:14" ht="45" customHeight="1" x14ac:dyDescent="0.3">
      <c r="A677" s="21"/>
      <c r="B677" s="262" t="str">
        <f>IF(L1055=0,"",C1069)</f>
        <v/>
      </c>
      <c r="C677" s="262"/>
      <c r="D677" s="262"/>
      <c r="E677" s="262"/>
      <c r="F677" s="262"/>
      <c r="G677" s="262"/>
      <c r="H677" s="262"/>
      <c r="I677" s="262"/>
      <c r="J677" s="262"/>
      <c r="K677" s="262"/>
      <c r="L677" s="262"/>
      <c r="M677" s="262"/>
      <c r="N677" s="20"/>
    </row>
    <row r="678" spans="1:14" ht="20" customHeight="1" x14ac:dyDescent="0.3">
      <c r="A678" s="21"/>
      <c r="B678" s="36"/>
      <c r="C678" s="39"/>
      <c r="D678" s="39"/>
      <c r="E678" s="39"/>
      <c r="F678" s="39"/>
      <c r="G678" s="39"/>
      <c r="H678" s="39"/>
      <c r="I678" s="39"/>
      <c r="J678" s="39"/>
      <c r="K678" s="39"/>
      <c r="L678" s="39"/>
      <c r="M678" s="39"/>
      <c r="N678" s="20"/>
    </row>
    <row r="679" spans="1:14" ht="35" customHeight="1" x14ac:dyDescent="0.3">
      <c r="A679" s="21"/>
      <c r="B679" s="36"/>
      <c r="C679" s="273" t="str">
        <f>IF(B674="","",C1071)</f>
        <v/>
      </c>
      <c r="D679" s="273"/>
      <c r="E679" s="273"/>
      <c r="F679" s="273"/>
      <c r="G679" s="273"/>
      <c r="H679" s="39"/>
      <c r="I679" s="273" t="str">
        <f>IF(B674="","",I$1071)</f>
        <v/>
      </c>
      <c r="J679" s="273"/>
      <c r="K679" s="273"/>
      <c r="L679" s="273"/>
      <c r="M679" s="273"/>
      <c r="N679" s="20"/>
    </row>
    <row r="680" spans="1:14" ht="20" customHeight="1" x14ac:dyDescent="0.3">
      <c r="A680" s="21"/>
      <c r="B680" s="36"/>
      <c r="C680" s="39"/>
      <c r="D680" s="39"/>
      <c r="E680" s="39"/>
      <c r="F680" s="39"/>
      <c r="G680" s="39"/>
      <c r="H680" s="39"/>
      <c r="I680" s="39"/>
      <c r="J680" s="39"/>
      <c r="K680" s="39"/>
      <c r="L680" s="39"/>
      <c r="M680" s="39"/>
      <c r="N680" s="20"/>
    </row>
    <row r="681" spans="1:14" ht="20" customHeight="1" x14ac:dyDescent="0.3">
      <c r="A681" s="21"/>
      <c r="B681" s="104" t="str">
        <f>IF(B674="","",AD1060)</f>
        <v/>
      </c>
      <c r="C681" s="104"/>
      <c r="D681" s="105"/>
      <c r="E681" s="105"/>
      <c r="F681" s="105"/>
      <c r="G681" s="105"/>
      <c r="H681" s="105"/>
      <c r="I681" s="105"/>
      <c r="J681" s="105"/>
      <c r="K681" s="105"/>
      <c r="L681" s="105"/>
      <c r="M681" s="105"/>
      <c r="N681" s="20"/>
    </row>
    <row r="682" spans="1:14" s="103" customFormat="1" ht="55" customHeight="1" x14ac:dyDescent="0.35">
      <c r="A682" s="101"/>
      <c r="B682" s="205" t="str">
        <f>IF($B$674="","",AD1061)</f>
        <v/>
      </c>
      <c r="C682" s="205"/>
      <c r="D682" s="205"/>
      <c r="E682" s="205"/>
      <c r="F682" s="205"/>
      <c r="G682" s="205"/>
      <c r="H682" s="205"/>
      <c r="I682" s="205"/>
      <c r="J682" s="205"/>
      <c r="K682" s="205"/>
      <c r="L682" s="205"/>
      <c r="M682" s="205"/>
      <c r="N682" s="102"/>
    </row>
    <row r="683" spans="1:14" s="103" customFormat="1" ht="55" customHeight="1" x14ac:dyDescent="0.35">
      <c r="A683" s="101"/>
      <c r="B683" s="205" t="str">
        <f>IF($B$674="","",AD1062)</f>
        <v/>
      </c>
      <c r="C683" s="205"/>
      <c r="D683" s="205"/>
      <c r="E683" s="205"/>
      <c r="F683" s="205"/>
      <c r="G683" s="205"/>
      <c r="H683" s="205"/>
      <c r="I683" s="205"/>
      <c r="J683" s="205"/>
      <c r="K683" s="205"/>
      <c r="L683" s="205"/>
      <c r="M683" s="205"/>
      <c r="N683" s="102"/>
    </row>
    <row r="684" spans="1:14" ht="20" customHeight="1" x14ac:dyDescent="0.3">
      <c r="A684" s="21"/>
      <c r="B684" s="104" t="str">
        <f>IF(B677="","",AD1063)</f>
        <v/>
      </c>
      <c r="C684" s="104"/>
      <c r="D684" s="105"/>
      <c r="E684" s="105"/>
      <c r="F684" s="105"/>
      <c r="G684" s="105"/>
      <c r="H684" s="105"/>
      <c r="I684" s="105"/>
      <c r="J684" s="105"/>
      <c r="K684" s="105"/>
      <c r="L684" s="105"/>
      <c r="M684" s="105"/>
      <c r="N684" s="20"/>
    </row>
    <row r="685" spans="1:14" ht="40" customHeight="1" x14ac:dyDescent="0.3">
      <c r="A685" s="21"/>
      <c r="B685" s="205" t="str">
        <f>IF($B$674="","",AD1064)</f>
        <v/>
      </c>
      <c r="C685" s="205"/>
      <c r="D685" s="205"/>
      <c r="E685" s="205"/>
      <c r="F685" s="205"/>
      <c r="G685" s="205"/>
      <c r="H685" s="205"/>
      <c r="I685" s="205"/>
      <c r="J685" s="205"/>
      <c r="K685" s="205"/>
      <c r="L685" s="205"/>
      <c r="M685" s="205"/>
      <c r="N685" s="20"/>
    </row>
    <row r="686" spans="1:14" ht="55" customHeight="1" x14ac:dyDescent="0.3">
      <c r="A686" s="21"/>
      <c r="B686" s="205" t="str">
        <f>IF($B$674="","",AD1065)</f>
        <v/>
      </c>
      <c r="C686" s="205"/>
      <c r="D686" s="205"/>
      <c r="E686" s="205"/>
      <c r="F686" s="205"/>
      <c r="G686" s="205"/>
      <c r="H686" s="205"/>
      <c r="I686" s="205"/>
      <c r="J686" s="205"/>
      <c r="K686" s="205"/>
      <c r="L686" s="205"/>
      <c r="M686" s="205"/>
      <c r="N686" s="20"/>
    </row>
    <row r="687" spans="1:14" ht="55" customHeight="1" x14ac:dyDescent="0.3">
      <c r="A687" s="21"/>
      <c r="B687" s="205" t="str">
        <f>IF($B$674="","",AD1066)</f>
        <v/>
      </c>
      <c r="C687" s="205"/>
      <c r="D687" s="205"/>
      <c r="E687" s="205"/>
      <c r="F687" s="205"/>
      <c r="G687" s="205"/>
      <c r="H687" s="205"/>
      <c r="I687" s="205"/>
      <c r="J687" s="205"/>
      <c r="K687" s="205"/>
      <c r="L687" s="205"/>
      <c r="M687" s="205"/>
      <c r="N687" s="20"/>
    </row>
    <row r="688" spans="1:14" ht="15" customHeight="1" x14ac:dyDescent="0.3">
      <c r="A688" s="21"/>
      <c r="B688" s="36"/>
      <c r="C688" s="39"/>
      <c r="D688" s="39"/>
      <c r="E688" s="39"/>
      <c r="F688" s="39"/>
      <c r="G688" s="39"/>
      <c r="H688" s="39"/>
      <c r="I688" s="39"/>
      <c r="J688" s="39"/>
      <c r="K688" s="39"/>
      <c r="L688" s="39"/>
      <c r="M688" s="39"/>
      <c r="N688" s="20"/>
    </row>
    <row r="689" spans="1:37" ht="5" customHeight="1" x14ac:dyDescent="0.3">
      <c r="A689" s="47"/>
      <c r="B689" s="73"/>
      <c r="C689" s="74"/>
      <c r="D689" s="74"/>
      <c r="E689" s="74"/>
      <c r="F689" s="74"/>
      <c r="G689" s="74"/>
      <c r="H689" s="74"/>
      <c r="I689" s="74"/>
      <c r="J689" s="74"/>
      <c r="K689" s="74"/>
      <c r="L689" s="74"/>
      <c r="M689" s="74"/>
      <c r="N689" s="48"/>
    </row>
    <row r="690" spans="1:37" ht="35" customHeight="1" x14ac:dyDescent="0.3">
      <c r="A690" s="47"/>
      <c r="B690" s="270" t="s">
        <v>344</v>
      </c>
      <c r="C690" s="270"/>
      <c r="D690" s="270"/>
      <c r="E690" s="270"/>
      <c r="F690" s="270"/>
      <c r="G690" s="270"/>
      <c r="H690" s="270"/>
      <c r="I690" s="155"/>
      <c r="J690" s="155"/>
      <c r="K690" s="155"/>
      <c r="L690" s="155"/>
      <c r="M690" s="155"/>
      <c r="N690" s="48"/>
      <c r="AK690" s="112"/>
    </row>
    <row r="691" spans="1:37" ht="5" customHeight="1" x14ac:dyDescent="0.3">
      <c r="A691" s="47"/>
      <c r="B691" s="73"/>
      <c r="C691" s="74"/>
      <c r="D691" s="74"/>
      <c r="E691" s="74"/>
      <c r="F691" s="74"/>
      <c r="G691" s="74"/>
      <c r="H691" s="74"/>
      <c r="I691" s="74"/>
      <c r="J691" s="74"/>
      <c r="K691" s="74"/>
      <c r="L691" s="74"/>
      <c r="M691" s="74"/>
      <c r="N691" s="48"/>
    </row>
    <row r="692" spans="1:37" ht="20" customHeight="1" x14ac:dyDescent="0.3">
      <c r="A692" s="21"/>
      <c r="B692" s="274" t="str">
        <f>IF(OR(B674="",B690=""),AD1068,"")</f>
        <v>this dropdown list remains blank until you start filling in the form above</v>
      </c>
      <c r="C692" s="274"/>
      <c r="D692" s="274"/>
      <c r="E692" s="274"/>
      <c r="F692" s="274"/>
      <c r="G692" s="274"/>
      <c r="H692" s="274"/>
      <c r="I692" s="274"/>
      <c r="J692" s="274"/>
      <c r="K692" s="274"/>
      <c r="L692" s="274"/>
      <c r="M692" s="274"/>
      <c r="N692" s="20"/>
    </row>
    <row r="693" spans="1:37" ht="20" customHeight="1" x14ac:dyDescent="0.3">
      <c r="A693" s="21"/>
      <c r="B693" s="279" t="s">
        <v>345</v>
      </c>
      <c r="C693" s="279"/>
      <c r="D693" s="279"/>
      <c r="E693" s="279"/>
      <c r="F693" s="279"/>
      <c r="G693" s="279"/>
      <c r="H693" s="279"/>
      <c r="I693" s="279"/>
      <c r="J693" s="279"/>
      <c r="K693" s="279"/>
      <c r="L693" s="279"/>
      <c r="M693" s="279"/>
      <c r="N693" s="20"/>
    </row>
    <row r="694" spans="1:37" ht="20" customHeight="1" x14ac:dyDescent="0.3">
      <c r="A694" s="21"/>
      <c r="B694" s="100"/>
      <c r="C694" s="100"/>
      <c r="D694" s="100"/>
      <c r="E694" s="100"/>
      <c r="F694" s="100"/>
      <c r="G694" s="100"/>
      <c r="H694" s="100"/>
      <c r="I694" s="100"/>
      <c r="J694" s="100"/>
      <c r="K694" s="100"/>
      <c r="L694" s="100"/>
      <c r="M694" s="100"/>
      <c r="N694" s="20"/>
    </row>
    <row r="695" spans="1:37" ht="45" customHeight="1" x14ac:dyDescent="0.3">
      <c r="A695" s="21"/>
      <c r="B695" s="100"/>
      <c r="C695" s="100"/>
      <c r="D695" s="100"/>
      <c r="E695" s="100"/>
      <c r="F695" s="100"/>
      <c r="G695" s="100"/>
      <c r="H695" s="100"/>
      <c r="I695" s="100"/>
      <c r="J695" s="100"/>
      <c r="K695" s="100"/>
      <c r="L695" s="100"/>
      <c r="M695" s="100"/>
      <c r="N695" s="20"/>
    </row>
    <row r="696" spans="1:37" ht="90" customHeight="1" x14ac:dyDescent="0.3">
      <c r="A696" s="21"/>
      <c r="B696" s="100"/>
      <c r="C696" s="100"/>
      <c r="D696" s="100"/>
      <c r="E696" s="100"/>
      <c r="F696" s="100"/>
      <c r="G696" s="100"/>
      <c r="H696" s="100"/>
      <c r="I696" s="100"/>
      <c r="J696" s="100"/>
      <c r="K696" s="100"/>
      <c r="L696" s="100"/>
      <c r="M696" s="100"/>
      <c r="N696" s="20"/>
    </row>
    <row r="697" spans="1:37" ht="60" customHeight="1" x14ac:dyDescent="0.3">
      <c r="A697" s="21"/>
      <c r="B697" s="100"/>
      <c r="C697" s="100"/>
      <c r="D697" s="100"/>
      <c r="E697" s="100"/>
      <c r="F697" s="100"/>
      <c r="G697" s="100"/>
      <c r="H697" s="100"/>
      <c r="I697" s="100"/>
      <c r="J697" s="100"/>
      <c r="K697" s="100"/>
      <c r="L697" s="100"/>
      <c r="M697" s="100"/>
      <c r="N697" s="20"/>
    </row>
    <row r="698" spans="1:37" ht="45" customHeight="1" x14ac:dyDescent="0.3">
      <c r="A698" s="21"/>
      <c r="B698" s="100"/>
      <c r="C698" s="100"/>
      <c r="D698" s="100"/>
      <c r="E698" s="100"/>
      <c r="F698" s="100"/>
      <c r="G698" s="100"/>
      <c r="H698" s="100"/>
      <c r="I698" s="100"/>
      <c r="J698" s="100"/>
      <c r="K698" s="100"/>
      <c r="L698" s="100"/>
      <c r="M698" s="100"/>
      <c r="N698" s="20"/>
    </row>
    <row r="699" spans="1:37" ht="60" customHeight="1" x14ac:dyDescent="0.3">
      <c r="A699" s="21"/>
      <c r="B699" s="100"/>
      <c r="C699" s="100"/>
      <c r="D699" s="100"/>
      <c r="E699" s="100"/>
      <c r="F699" s="100"/>
      <c r="G699" s="100"/>
      <c r="H699" s="100"/>
      <c r="I699" s="100"/>
      <c r="J699" s="100"/>
      <c r="K699" s="100"/>
      <c r="L699" s="100"/>
      <c r="M699" s="100"/>
      <c r="N699" s="20"/>
    </row>
    <row r="700" spans="1:37" ht="75" customHeight="1" x14ac:dyDescent="0.3">
      <c r="A700" s="21"/>
      <c r="B700" s="100"/>
      <c r="C700" s="100"/>
      <c r="D700" s="100"/>
      <c r="E700" s="100"/>
      <c r="F700" s="100"/>
      <c r="G700" s="100"/>
      <c r="H700" s="100"/>
      <c r="I700" s="100"/>
      <c r="J700" s="100"/>
      <c r="K700" s="100"/>
      <c r="L700" s="100"/>
      <c r="M700" s="100"/>
      <c r="N700" s="20"/>
    </row>
    <row r="701" spans="1:37" ht="75" customHeight="1" x14ac:dyDescent="0.3">
      <c r="A701" s="21"/>
      <c r="B701" s="100"/>
      <c r="C701" s="100"/>
      <c r="D701" s="100"/>
      <c r="E701" s="100"/>
      <c r="F701" s="100"/>
      <c r="G701" s="100"/>
      <c r="H701" s="100"/>
      <c r="I701" s="100"/>
      <c r="J701" s="100"/>
      <c r="K701" s="100"/>
      <c r="L701" s="100"/>
      <c r="M701" s="100"/>
      <c r="N701" s="20"/>
    </row>
    <row r="702" spans="1:37" ht="15" customHeight="1" x14ac:dyDescent="0.3">
      <c r="A702" s="21"/>
      <c r="B702" s="100"/>
      <c r="C702" s="100"/>
      <c r="D702" s="100"/>
      <c r="E702" s="100"/>
      <c r="F702" s="100"/>
      <c r="G702" s="100"/>
      <c r="H702" s="100"/>
      <c r="I702" s="100"/>
      <c r="J702" s="100"/>
      <c r="K702" s="100"/>
      <c r="L702" s="100"/>
      <c r="M702" s="100"/>
      <c r="N702" s="20"/>
    </row>
    <row r="703" spans="1:37" ht="15" customHeight="1" x14ac:dyDescent="0.3">
      <c r="A703" s="21"/>
      <c r="B703" s="100"/>
      <c r="C703" s="100"/>
      <c r="D703" s="100"/>
      <c r="E703" s="100"/>
      <c r="F703" s="100"/>
      <c r="G703" s="100"/>
      <c r="H703" s="100"/>
      <c r="I703" s="100"/>
      <c r="J703" s="100"/>
      <c r="K703" s="100"/>
      <c r="L703" s="100"/>
      <c r="M703" s="100"/>
      <c r="N703" s="20"/>
    </row>
    <row r="704" spans="1:37" ht="25" customHeight="1" x14ac:dyDescent="0.3">
      <c r="A704" s="21"/>
      <c r="B704" s="100"/>
      <c r="C704" s="100"/>
      <c r="D704" s="100"/>
      <c r="E704" s="100"/>
      <c r="F704" s="100"/>
      <c r="G704" s="100"/>
      <c r="H704" s="100"/>
      <c r="I704" s="100"/>
      <c r="J704" s="100"/>
      <c r="K704" s="100"/>
      <c r="L704" s="100"/>
      <c r="M704" s="100"/>
      <c r="N704" s="20"/>
    </row>
    <row r="705" spans="1:54" ht="30" customHeight="1" thickBot="1" x14ac:dyDescent="0.35">
      <c r="A705" s="21"/>
      <c r="B705" s="266" t="s">
        <v>347</v>
      </c>
      <c r="C705" s="266"/>
      <c r="D705" s="266"/>
      <c r="E705" s="266"/>
      <c r="F705" s="266"/>
      <c r="G705" s="266"/>
      <c r="H705" s="266"/>
      <c r="I705" s="266"/>
      <c r="J705" s="266"/>
      <c r="K705" s="266"/>
      <c r="L705" s="266"/>
      <c r="M705" s="266"/>
      <c r="N705" s="20"/>
    </row>
    <row r="706" spans="1:54" ht="25" customHeight="1" thickTop="1" thickBot="1" x14ac:dyDescent="0.35">
      <c r="A706" s="21"/>
      <c r="B706" s="100"/>
      <c r="C706" s="100"/>
      <c r="D706" s="267" t="s">
        <v>346</v>
      </c>
      <c r="E706" s="268"/>
      <c r="F706" s="268"/>
      <c r="G706" s="268"/>
      <c r="H706" s="268"/>
      <c r="I706" s="268"/>
      <c r="J706" s="268"/>
      <c r="K706" s="268"/>
      <c r="L706" s="269"/>
      <c r="M706" s="100"/>
      <c r="N706" s="20"/>
    </row>
    <row r="707" spans="1:54" ht="15" customHeight="1" thickTop="1" x14ac:dyDescent="0.3">
      <c r="A707" s="19"/>
      <c r="B707" s="18"/>
      <c r="C707" s="18"/>
      <c r="D707" s="18"/>
      <c r="E707" s="18"/>
      <c r="F707" s="18"/>
      <c r="G707" s="18"/>
      <c r="H707" s="17"/>
      <c r="I707" s="17"/>
      <c r="J707" s="17"/>
      <c r="K707" s="17"/>
      <c r="L707" s="17"/>
      <c r="M707" s="17"/>
      <c r="N707" s="16"/>
      <c r="BB707" s="4"/>
    </row>
    <row r="1000" spans="2:13" s="2" customFormat="1" x14ac:dyDescent="0.3">
      <c r="B1000" s="1"/>
      <c r="C1000" s="1"/>
      <c r="D1000" s="1"/>
      <c r="E1000" s="1"/>
      <c r="F1000" s="1"/>
      <c r="G1000" s="1"/>
      <c r="H1000" s="3"/>
      <c r="I1000" s="1"/>
      <c r="J1000" s="1"/>
      <c r="K1000" s="1"/>
      <c r="L1000" s="1"/>
      <c r="M1000" s="1"/>
    </row>
    <row r="1001" spans="2:13" s="2" customFormat="1" ht="13.5" hidden="1" thickBot="1" x14ac:dyDescent="0.35">
      <c r="B1001" s="14"/>
      <c r="C1001" s="14"/>
      <c r="D1001" s="14"/>
      <c r="E1001" s="14"/>
      <c r="F1001" s="14"/>
      <c r="G1001" s="14"/>
      <c r="H1001" s="15"/>
      <c r="I1001" s="14"/>
      <c r="J1001" s="14"/>
      <c r="K1001" s="14"/>
      <c r="L1001" s="14"/>
      <c r="M1001" s="14"/>
    </row>
    <row r="1002" spans="2:13" s="2" customFormat="1" ht="13.5" hidden="1" thickTop="1" x14ac:dyDescent="0.3">
      <c r="B1002" s="1"/>
      <c r="C1002" s="1"/>
      <c r="D1002" s="1"/>
      <c r="E1002" s="1"/>
      <c r="F1002" s="1"/>
      <c r="G1002" s="1"/>
      <c r="H1002" s="3"/>
      <c r="I1002" s="1"/>
      <c r="J1002" s="1"/>
      <c r="K1002" s="1"/>
      <c r="L1002" s="1"/>
      <c r="M1002" s="1"/>
    </row>
    <row r="1003" spans="2:13" s="2" customFormat="1" hidden="1" x14ac:dyDescent="0.3">
      <c r="B1003" s="1"/>
      <c r="C1003" s="1"/>
      <c r="D1003" s="1"/>
      <c r="E1003" s="1"/>
      <c r="F1003" s="1"/>
      <c r="G1003" s="1"/>
      <c r="H1003" s="3"/>
      <c r="I1003" s="1"/>
      <c r="J1003" s="1"/>
      <c r="K1003" s="1"/>
      <c r="L1003" s="1"/>
      <c r="M1003" s="1"/>
    </row>
    <row r="1004" spans="2:13" hidden="1" x14ac:dyDescent="0.3"/>
    <row r="1005" spans="2:13" hidden="1" x14ac:dyDescent="0.3">
      <c r="J1005" s="58"/>
      <c r="K1005" s="58"/>
      <c r="L1005" s="58"/>
      <c r="M1005" s="58"/>
    </row>
    <row r="1006" spans="2:13" hidden="1" x14ac:dyDescent="0.3"/>
    <row r="1007" spans="2:13" hidden="1" x14ac:dyDescent="0.3"/>
    <row r="1008" spans="2:13" ht="17.5" hidden="1" x14ac:dyDescent="0.35">
      <c r="B1008" s="12" t="str">
        <f>B114</f>
        <v>Your responsiveness scores</v>
      </c>
    </row>
    <row r="1009" spans="3:27" hidden="1" x14ac:dyDescent="0.3"/>
    <row r="1010" spans="3:27" hidden="1" x14ac:dyDescent="0.3"/>
    <row r="1011" spans="3:27" hidden="1" x14ac:dyDescent="0.3">
      <c r="C1011" s="1" t="s">
        <v>18</v>
      </c>
      <c r="D1011" s="1">
        <v>1</v>
      </c>
      <c r="F1011" s="1" t="s">
        <v>17</v>
      </c>
      <c r="H1011" s="3" t="s">
        <v>16</v>
      </c>
      <c r="J1011" s="1" t="s">
        <v>26</v>
      </c>
      <c r="K1011" s="3" t="s">
        <v>31</v>
      </c>
      <c r="M1011" s="3" t="s">
        <v>49</v>
      </c>
      <c r="P1011" s="3" t="s">
        <v>64</v>
      </c>
      <c r="Q1011" s="59">
        <v>0</v>
      </c>
      <c r="R1011" s="1" t="s">
        <v>71</v>
      </c>
      <c r="S1011" s="1">
        <v>0</v>
      </c>
      <c r="T1011" s="118" t="s">
        <v>194</v>
      </c>
      <c r="U1011" s="1" t="s">
        <v>76</v>
      </c>
      <c r="V1011" s="119" t="s">
        <v>197</v>
      </c>
      <c r="W1011" s="1">
        <v>1</v>
      </c>
      <c r="X1011" s="1" t="s">
        <v>82</v>
      </c>
      <c r="Y1011" s="1">
        <v>0.9</v>
      </c>
      <c r="Z1011" s="1" t="s">
        <v>97</v>
      </c>
      <c r="AA1011" s="1">
        <v>1</v>
      </c>
    </row>
    <row r="1012" spans="3:27" hidden="1" x14ac:dyDescent="0.3">
      <c r="C1012" s="1" t="s">
        <v>15</v>
      </c>
      <c r="D1012" s="1">
        <f>D1011-0.19</f>
        <v>0.81</v>
      </c>
      <c r="F1012" s="1" t="s">
        <v>14</v>
      </c>
      <c r="H1012" s="3" t="s">
        <v>13</v>
      </c>
      <c r="J1012" s="1" t="s">
        <v>27</v>
      </c>
      <c r="K1012" s="3" t="s">
        <v>32</v>
      </c>
      <c r="M1012" s="3" t="s">
        <v>50</v>
      </c>
      <c r="P1012" s="3" t="s">
        <v>74</v>
      </c>
      <c r="Q1012" s="59">
        <v>0.02</v>
      </c>
      <c r="R1012" s="1" t="s">
        <v>67</v>
      </c>
      <c r="S1012" s="1">
        <v>0.2</v>
      </c>
      <c r="T1012" s="118" t="s">
        <v>194</v>
      </c>
      <c r="U1012" s="1" t="s">
        <v>77</v>
      </c>
      <c r="V1012" s="119" t="s">
        <v>197</v>
      </c>
      <c r="W1012" s="1">
        <v>0.8</v>
      </c>
      <c r="X1012" s="1" t="s">
        <v>83</v>
      </c>
      <c r="Y1012" s="1">
        <v>0.74</v>
      </c>
      <c r="Z1012" s="1" t="s">
        <v>66</v>
      </c>
      <c r="AA1012" s="1">
        <v>0.8</v>
      </c>
    </row>
    <row r="1013" spans="3:27" hidden="1" x14ac:dyDescent="0.3">
      <c r="C1013" s="1" t="s">
        <v>12</v>
      </c>
      <c r="D1013" s="1">
        <f>D1012-0.2</f>
        <v>0.6100000000000001</v>
      </c>
      <c r="F1013" s="1" t="s">
        <v>11</v>
      </c>
      <c r="J1013" s="1" t="s">
        <v>28</v>
      </c>
      <c r="K1013" s="3" t="s">
        <v>33</v>
      </c>
      <c r="M1013" s="3" t="s">
        <v>51</v>
      </c>
      <c r="P1013" s="3" t="s">
        <v>75</v>
      </c>
      <c r="Q1013" s="59">
        <v>0.04</v>
      </c>
      <c r="R1013" s="1" t="s">
        <v>68</v>
      </c>
      <c r="S1013" s="1">
        <v>0.4</v>
      </c>
      <c r="T1013" s="118" t="s">
        <v>195</v>
      </c>
      <c r="U1013" s="1" t="s">
        <v>80</v>
      </c>
      <c r="V1013" s="119" t="s">
        <v>197</v>
      </c>
      <c r="W1013" s="1">
        <v>0.6</v>
      </c>
      <c r="X1013" s="1" t="s">
        <v>84</v>
      </c>
      <c r="Y1013" s="1">
        <v>0.56000000000000005</v>
      </c>
      <c r="Z1013" s="1" t="s">
        <v>98</v>
      </c>
      <c r="AA1013" s="1">
        <v>0.6</v>
      </c>
    </row>
    <row r="1014" spans="3:27" hidden="1" x14ac:dyDescent="0.3">
      <c r="C1014" s="1" t="s">
        <v>10</v>
      </c>
      <c r="D1014" s="1">
        <f>D1013-0.2</f>
        <v>0.41000000000000009</v>
      </c>
      <c r="K1014" s="3" t="s">
        <v>34</v>
      </c>
      <c r="M1014" s="3" t="s">
        <v>52</v>
      </c>
      <c r="P1014" s="3" t="s">
        <v>65</v>
      </c>
      <c r="Q1014" s="59">
        <v>0.06</v>
      </c>
      <c r="R1014" s="1" t="s">
        <v>69</v>
      </c>
      <c r="S1014" s="1">
        <v>0.6</v>
      </c>
      <c r="T1014" s="118"/>
      <c r="U1014" s="1" t="s">
        <v>78</v>
      </c>
      <c r="V1014" s="119" t="s">
        <v>196</v>
      </c>
      <c r="W1014" s="1">
        <v>0.4</v>
      </c>
      <c r="X1014" s="1" t="s">
        <v>85</v>
      </c>
      <c r="Y1014" s="1">
        <v>0.38</v>
      </c>
      <c r="Z1014" s="1" t="s">
        <v>99</v>
      </c>
      <c r="AA1014" s="1">
        <v>0.4</v>
      </c>
    </row>
    <row r="1015" spans="3:27" hidden="1" x14ac:dyDescent="0.3">
      <c r="C1015" s="1" t="s">
        <v>9</v>
      </c>
      <c r="D1015" s="1">
        <f>D1014-0.2</f>
        <v>0.21000000000000008</v>
      </c>
      <c r="K1015" s="3" t="s">
        <v>35</v>
      </c>
      <c r="M1015" s="3" t="s">
        <v>53</v>
      </c>
      <c r="P1015" s="3" t="s">
        <v>66</v>
      </c>
      <c r="Q1015" s="59">
        <v>0.08</v>
      </c>
      <c r="R1015" s="1" t="s">
        <v>70</v>
      </c>
      <c r="S1015" s="1">
        <v>0.8</v>
      </c>
      <c r="T1015" s="118"/>
      <c r="U1015" s="1" t="s">
        <v>79</v>
      </c>
      <c r="V1015" s="119" t="s">
        <v>196</v>
      </c>
      <c r="W1015" s="1">
        <v>0.2</v>
      </c>
      <c r="X1015" s="1" t="s">
        <v>86</v>
      </c>
      <c r="Y1015" s="1">
        <v>0.19</v>
      </c>
      <c r="Z1015" s="1" t="s">
        <v>100</v>
      </c>
      <c r="AA1015" s="1">
        <v>0.2</v>
      </c>
    </row>
    <row r="1016" spans="3:27" hidden="1" x14ac:dyDescent="0.3">
      <c r="C1016" s="1" t="s">
        <v>21</v>
      </c>
      <c r="D1016" s="1">
        <v>0</v>
      </c>
      <c r="K1016" s="3" t="s">
        <v>36</v>
      </c>
      <c r="M1016" s="3" t="s">
        <v>54</v>
      </c>
      <c r="Q1016" s="59">
        <v>0.1</v>
      </c>
      <c r="R1016" s="1" t="s">
        <v>103</v>
      </c>
      <c r="S1016" s="1">
        <v>1</v>
      </c>
      <c r="T1016" s="118"/>
      <c r="U1016" s="1" t="s">
        <v>81</v>
      </c>
      <c r="V1016" s="119" t="s">
        <v>196</v>
      </c>
      <c r="W1016" s="1">
        <v>0</v>
      </c>
      <c r="X1016" s="1" t="s">
        <v>81</v>
      </c>
      <c r="Y1016" s="1">
        <v>0</v>
      </c>
      <c r="Z1016" s="1" t="s">
        <v>101</v>
      </c>
      <c r="AA1016" s="1">
        <v>0</v>
      </c>
    </row>
    <row r="1017" spans="3:27" hidden="1" x14ac:dyDescent="0.3">
      <c r="K1017" s="3" t="s">
        <v>37</v>
      </c>
      <c r="M1017" s="3" t="s">
        <v>55</v>
      </c>
      <c r="V1017" s="117" t="s">
        <v>199</v>
      </c>
      <c r="Z1017" s="1" t="s">
        <v>102</v>
      </c>
    </row>
    <row r="1018" spans="3:27" hidden="1" x14ac:dyDescent="0.3">
      <c r="K1018" s="3" t="s">
        <v>38</v>
      </c>
      <c r="M1018" s="3" t="s">
        <v>56</v>
      </c>
      <c r="S1018" s="11"/>
      <c r="T1018" s="11"/>
      <c r="U1018" s="11"/>
    </row>
    <row r="1019" spans="3:27" hidden="1" x14ac:dyDescent="0.3">
      <c r="K1019" s="3" t="s">
        <v>39</v>
      </c>
      <c r="M1019" s="3" t="s">
        <v>57</v>
      </c>
      <c r="S1019" s="11"/>
      <c r="T1019" s="11"/>
      <c r="U1019" s="11"/>
    </row>
    <row r="1020" spans="3:27" hidden="1" x14ac:dyDescent="0.3">
      <c r="K1020" s="3" t="s">
        <v>40</v>
      </c>
      <c r="M1020" s="3" t="s">
        <v>58</v>
      </c>
      <c r="S1020" s="11"/>
      <c r="T1020" s="11"/>
      <c r="U1020" s="11"/>
    </row>
    <row r="1021" spans="3:27" hidden="1" x14ac:dyDescent="0.3">
      <c r="K1021" s="3" t="s">
        <v>41</v>
      </c>
      <c r="M1021" s="3" t="s">
        <v>59</v>
      </c>
      <c r="S1021" s="11"/>
      <c r="T1021" s="11"/>
      <c r="U1021" s="11"/>
    </row>
    <row r="1022" spans="3:27" hidden="1" x14ac:dyDescent="0.3">
      <c r="K1022" s="3" t="s">
        <v>42</v>
      </c>
      <c r="M1022" s="3" t="s">
        <v>60</v>
      </c>
      <c r="S1022" s="11"/>
      <c r="T1022" s="11"/>
      <c r="U1022" s="11"/>
    </row>
    <row r="1023" spans="3:27" hidden="1" x14ac:dyDescent="0.3">
      <c r="K1023" s="3" t="s">
        <v>43</v>
      </c>
      <c r="M1023" s="3" t="s">
        <v>61</v>
      </c>
      <c r="S1023" s="11"/>
      <c r="T1023" s="11"/>
      <c r="U1023" s="11"/>
    </row>
    <row r="1024" spans="3:27" hidden="1" x14ac:dyDescent="0.3">
      <c r="K1024" s="3" t="s">
        <v>44</v>
      </c>
      <c r="M1024" s="3" t="s">
        <v>62</v>
      </c>
      <c r="S1024" s="11"/>
      <c r="T1024" s="11"/>
      <c r="U1024" s="11"/>
    </row>
    <row r="1025" spans="2:132" hidden="1" x14ac:dyDescent="0.3">
      <c r="K1025" s="3" t="s">
        <v>45</v>
      </c>
      <c r="M1025" s="3" t="s">
        <v>63</v>
      </c>
      <c r="S1025" s="11"/>
      <c r="T1025" s="11"/>
      <c r="U1025" s="11"/>
    </row>
    <row r="1026" spans="2:132" hidden="1" x14ac:dyDescent="0.3">
      <c r="K1026" s="3" t="s">
        <v>46</v>
      </c>
      <c r="S1026" s="11"/>
      <c r="T1026" s="11"/>
      <c r="U1026" s="11"/>
    </row>
    <row r="1027" spans="2:132" hidden="1" x14ac:dyDescent="0.3">
      <c r="K1027" s="3" t="s">
        <v>47</v>
      </c>
      <c r="S1027" s="11"/>
      <c r="T1027" s="11"/>
      <c r="U1027" s="11"/>
    </row>
    <row r="1028" spans="2:132" hidden="1" x14ac:dyDescent="0.3">
      <c r="K1028" s="3" t="s">
        <v>48</v>
      </c>
      <c r="S1028" s="11"/>
      <c r="T1028" s="11"/>
      <c r="U1028" s="11"/>
      <c r="AV1028" s="1" t="s">
        <v>205</v>
      </c>
      <c r="AW1028" s="6" t="s">
        <v>3</v>
      </c>
      <c r="AX1028" s="1" t="s">
        <v>18</v>
      </c>
    </row>
    <row r="1029" spans="2:132" hidden="1" x14ac:dyDescent="0.3">
      <c r="K1029" s="3"/>
      <c r="S1029" s="11"/>
      <c r="T1029" s="11"/>
      <c r="U1029" s="11"/>
      <c r="AV1029" s="1" t="s">
        <v>206</v>
      </c>
      <c r="AW1029" s="6" t="s">
        <v>3</v>
      </c>
      <c r="AX1029" s="1" t="s">
        <v>15</v>
      </c>
    </row>
    <row r="1030" spans="2:132" hidden="1" x14ac:dyDescent="0.3">
      <c r="K1030" s="3"/>
      <c r="S1030" s="11"/>
      <c r="T1030" s="11"/>
      <c r="U1030" s="11"/>
      <c r="AV1030" s="1" t="s">
        <v>209</v>
      </c>
      <c r="AW1030" s="6" t="s">
        <v>3</v>
      </c>
      <c r="AX1030" s="1" t="s">
        <v>12</v>
      </c>
    </row>
    <row r="1031" spans="2:132" ht="14" hidden="1" x14ac:dyDescent="0.3">
      <c r="K1031" s="58"/>
      <c r="L1031" s="59"/>
      <c r="M1031" s="58"/>
      <c r="S1031" s="11"/>
      <c r="T1031" s="11"/>
      <c r="U1031" s="11"/>
      <c r="AV1031" s="1" t="s">
        <v>204</v>
      </c>
      <c r="AW1031" s="6" t="s">
        <v>3</v>
      </c>
      <c r="AX1031" s="1" t="s">
        <v>10</v>
      </c>
      <c r="BB1031" s="93">
        <f>W137</f>
        <v>0</v>
      </c>
      <c r="CP1031" s="1" t="e">
        <f ca="1">CT1035</f>
        <v>#NAME?</v>
      </c>
    </row>
    <row r="1032" spans="2:132" hidden="1" x14ac:dyDescent="0.3">
      <c r="K1032" s="3"/>
      <c r="S1032" s="11"/>
      <c r="T1032" s="11"/>
      <c r="U1032" s="11"/>
      <c r="AV1032" s="1" t="s">
        <v>207</v>
      </c>
      <c r="AW1032" s="6" t="s">
        <v>3</v>
      </c>
      <c r="AX1032" s="1" t="s">
        <v>9</v>
      </c>
      <c r="BA1032" s="1" t="s">
        <v>289</v>
      </c>
      <c r="CP1032" s="1" t="e">
        <f ca="1">CT1036</f>
        <v>#NAME?</v>
      </c>
      <c r="CR1032" s="1" t="str">
        <f>CW1038</f>
        <v>So far, you're doing great with 0! With 50% of these steps completed, it's now time to give 0 a need of yours they can now honor. You can use the "PNP" tab for this.</v>
      </c>
      <c r="DN1032" s="1" t="str">
        <f>DO1036</f>
        <v>You first invited this invitee0, back on . Since  days have gone by, use the "follow-up" message template to remind them to share a need.</v>
      </c>
    </row>
    <row r="1033" spans="2:132" hidden="1" x14ac:dyDescent="0.3">
      <c r="G1033" s="64" t="str">
        <f t="shared" ref="G1033" si="28">IF(F1033&gt;0,F1033,"")</f>
        <v/>
      </c>
      <c r="K1033" s="61" t="s">
        <v>91</v>
      </c>
      <c r="S1033" s="11"/>
      <c r="T1033" s="11"/>
      <c r="U1033" s="11"/>
      <c r="W1033" s="61" t="s">
        <v>92</v>
      </c>
      <c r="AA1033" s="61" t="s">
        <v>93</v>
      </c>
      <c r="AH1033" s="61" t="s">
        <v>94</v>
      </c>
      <c r="AV1033" s="1" t="s">
        <v>208</v>
      </c>
      <c r="AW1033" s="6" t="s">
        <v>3</v>
      </c>
      <c r="AX1033" s="1" t="s">
        <v>203</v>
      </c>
      <c r="BA1033" s="1" t="s">
        <v>291</v>
      </c>
      <c r="BJ1033" s="1" t="s">
        <v>326</v>
      </c>
      <c r="BL1033" s="147" t="s">
        <v>327</v>
      </c>
      <c r="BM1033" s="147" t="s">
        <v>328</v>
      </c>
      <c r="BN1033" s="147" t="s">
        <v>329</v>
      </c>
      <c r="BO1033" s="147" t="s">
        <v>330</v>
      </c>
      <c r="BP1033" s="147" t="s">
        <v>331</v>
      </c>
      <c r="BQ1033" s="147" t="s">
        <v>332</v>
      </c>
      <c r="BR1033" s="147" t="s">
        <v>333</v>
      </c>
      <c r="BS1033" s="147" t="s">
        <v>334</v>
      </c>
      <c r="BT1033" s="147" t="s">
        <v>335</v>
      </c>
      <c r="BU1033" s="147" t="s">
        <v>336</v>
      </c>
    </row>
    <row r="1034" spans="2:132" ht="18.5" hidden="1" thickBot="1" x14ac:dyDescent="0.55000000000000004">
      <c r="H1034" s="11" t="s">
        <v>113</v>
      </c>
      <c r="I1034" s="11" t="s">
        <v>132</v>
      </c>
      <c r="J1034" s="11" t="s">
        <v>133</v>
      </c>
      <c r="K1034" s="60" t="s">
        <v>109</v>
      </c>
      <c r="L1034" s="11" t="s">
        <v>112</v>
      </c>
      <c r="P1034" s="66" t="s">
        <v>114</v>
      </c>
      <c r="R1034" s="66" t="s">
        <v>114</v>
      </c>
      <c r="S1034" s="11" t="str">
        <f>F1011</f>
        <v>card</v>
      </c>
      <c r="T1034" s="11" t="str">
        <f>F1012</f>
        <v>meme</v>
      </c>
      <c r="U1034" s="11" t="str">
        <f>F1013</f>
        <v>video</v>
      </c>
      <c r="W1034" s="60" t="s">
        <v>110</v>
      </c>
      <c r="AA1034" s="60" t="s">
        <v>111</v>
      </c>
      <c r="AH1034" s="60" t="s">
        <v>108</v>
      </c>
      <c r="AJ1034" s="93">
        <f>E140</f>
        <v>0</v>
      </c>
      <c r="AM1034" s="11" t="s">
        <v>132</v>
      </c>
      <c r="AN1034" s="11" t="s">
        <v>113</v>
      </c>
      <c r="BA1034" s="4" t="s">
        <v>290</v>
      </c>
      <c r="BC1034" s="6" t="s">
        <v>3</v>
      </c>
      <c r="BW1034" s="152" t="s">
        <v>337</v>
      </c>
      <c r="BX1034" s="153">
        <f ca="1">TODAY()</f>
        <v>45274</v>
      </c>
      <c r="BY1034" s="1">
        <f>BY1035</f>
        <v>0</v>
      </c>
      <c r="CC1034" s="165" t="s">
        <v>370</v>
      </c>
      <c r="CR1034" s="141">
        <v>0</v>
      </c>
      <c r="CS1034" s="141">
        <f t="shared" ref="CS1034:DB1034" si="29">CR1034+0.1</f>
        <v>0.1</v>
      </c>
      <c r="CT1034" s="141">
        <f t="shared" si="29"/>
        <v>0.2</v>
      </c>
      <c r="CU1034" s="141">
        <f t="shared" si="29"/>
        <v>0.30000000000000004</v>
      </c>
      <c r="CV1034" s="141">
        <f t="shared" si="29"/>
        <v>0.4</v>
      </c>
      <c r="CW1034" s="141">
        <f t="shared" si="29"/>
        <v>0.5</v>
      </c>
      <c r="CX1034" s="141">
        <f t="shared" si="29"/>
        <v>0.6</v>
      </c>
      <c r="CY1034" s="141">
        <f t="shared" si="29"/>
        <v>0.7</v>
      </c>
      <c r="CZ1034" s="141">
        <f t="shared" si="29"/>
        <v>0.79999999999999993</v>
      </c>
      <c r="DA1034" s="141">
        <f t="shared" si="29"/>
        <v>0.89999999999999991</v>
      </c>
      <c r="DB1034" s="141">
        <f t="shared" si="29"/>
        <v>0.99999999999999989</v>
      </c>
      <c r="DF1034" s="165" t="s">
        <v>370</v>
      </c>
    </row>
    <row r="1035" spans="2:132" ht="13.5" hidden="1" thickBot="1" x14ac:dyDescent="0.35">
      <c r="B1035" s="1">
        <v>1</v>
      </c>
      <c r="C1035" s="1">
        <f t="shared" ref="C1035:C1054" si="30">C119</f>
        <v>0</v>
      </c>
      <c r="D1035" s="1">
        <f>C146</f>
        <v>0</v>
      </c>
      <c r="E1035" s="13">
        <f>L146</f>
        <v>0</v>
      </c>
      <c r="F1035" s="4">
        <f>L149</f>
        <v>0</v>
      </c>
      <c r="G1035" s="4">
        <f>IF(F1035=$C$1011,$D$1011,IF(F1035=$C$1012,$D$1012,IF(F1035=$C$1013,$D$1013,IF(F1035=$C$1014,$D$1014,IF(F1035=$C$1015,$D$1015,IF(F1035=$C$1016,$D$1016,IF(F1035=0,0)))))))</f>
        <v>0</v>
      </c>
      <c r="H1035" s="6">
        <f>IF($F149="",($I149-$C149)*0.01,($I149-$F149)*0.01)</f>
        <v>0</v>
      </c>
      <c r="I1035" s="6">
        <f>IF(K151=R$1011,S$1011,IF(K151=R$1012,S$1012,IF(K151=R$1013,S$1013,IF(K151=R$1014,S$1014,IF(K151=R$1015,S$1015,IF(K151=R$1016,S$1016,IF(K151="",0)))))))</f>
        <v>0</v>
      </c>
      <c r="J1035" s="114">
        <f>IF(F1035=$C$1016,$D$1016,IF(F1035=$C$1015,$D$1015,IF(F1035=$C$1014,$D$1014,IF(F1035=$C$1013,$D$1013,IF(F1035=$C$1012,$D$1012,IF(F1035=$C$1011,$D$1011,IF(F1035=0,0)))))))</f>
        <v>0</v>
      </c>
      <c r="K1035" s="5">
        <f>(J1035+I$1035)/2-H1035</f>
        <v>0</v>
      </c>
      <c r="L1035" s="3">
        <f>IF(F1035&lt;&gt;0,1,0)</f>
        <v>0</v>
      </c>
      <c r="M1035" s="1" t="str">
        <f>IF(G1035&gt;0,G1035,"")</f>
        <v/>
      </c>
      <c r="N1035" s="1">
        <f>IF(C146=$H$1011,K1035,0)</f>
        <v>0</v>
      </c>
      <c r="O1035" s="10">
        <f t="shared" ref="O1035:O1054" si="31">IF(N1035&gt;0,1,0)</f>
        <v>0</v>
      </c>
      <c r="P1035" s="1">
        <f>IF(C146=$H$1012,L1035,0)</f>
        <v>0</v>
      </c>
      <c r="Q1035" s="10">
        <f t="shared" ref="Q1035:Q1054" si="32">IF(P1035&gt;0,1,0)</f>
        <v>0</v>
      </c>
      <c r="R1035" s="13">
        <f>E1035</f>
        <v>0</v>
      </c>
      <c r="S1035" s="1">
        <f>IF(AND($R1035=$F$1011,$M1035&gt;0.75),1,0)</f>
        <v>0</v>
      </c>
      <c r="T1035" s="1">
        <f>IF(AND($R1035=$F$1012,$M1035&gt;0.75),1,0)</f>
        <v>0</v>
      </c>
      <c r="U1035" s="1">
        <f>IF(AND($R1035=$F$1013,$M1035&gt;0.75),1,0)</f>
        <v>0</v>
      </c>
      <c r="W1035" s="4">
        <f>IF($G155=U$1011,W$1011,IF($G155=U$1012,W$1012,IF($G155=U$1013,W$1013,IF($G155=U$1014,W$1014,IF($G155=U$1015,W$1015,IF($G155=U$1016,W$1016,IF($G155="",0)))))))</f>
        <v>0</v>
      </c>
      <c r="X1035" s="1">
        <f>IF($G161=X$1011,Y$1011,IF($G161=X$1012,Y$1012,IF($G161=X$1013,Y$1013,IF($G161=X$1014,Y$1014,IF($G161=X$1015,Y$1015,IF($G161=X$1016,Y$1016,IF($G161="",0)))))))</f>
        <v>0</v>
      </c>
      <c r="Y1035" s="1">
        <f>IF($M161=C$1011,D$1011,IF($M161=C$1012,D$1012,IF($M161=C$1013,D$1013,IF($M161=C$1014,D$1014,IF($M161=C$1015,D$1015,IF($M161=C$1016,D$1016,IF($M161="",0)))))))</f>
        <v>0</v>
      </c>
      <c r="Z1035" s="59">
        <f>IF(K151=R$1011,S$1011,IF(K151=R$1012,S$1012,IF(K151=R$1013,S$1013,IF(K151=R$1014,S$1014,IF(K151=R$1015,S$1015,IF(K151=R$1016,S$1016,IF(K151="",0)))))))</f>
        <v>0</v>
      </c>
      <c r="AA1035" s="54">
        <f>IF(OR(G161="",M161=""),0,(X1035+Y1035)/2)</f>
        <v>0</v>
      </c>
      <c r="AD1035" s="4">
        <f>IF(AC1035=$C$1011,$D$1011,IF(AC1035=$C$1012,$D$1012,IF(AC1035=$C$1013,$D$1013,IF(AC1035=$C$1014,$D$1014,IF(AC1035=$C$1015,$D$1015,IF(AC1035=$C$1016,$D1016,IF(AC1035=0,0)))))))</f>
        <v>0</v>
      </c>
      <c r="AE1035" s="6">
        <f>IF($F166="",$I166-$C166,$I166-$F166)</f>
        <v>0</v>
      </c>
      <c r="AF1035" s="6">
        <f>AE1035*0.01</f>
        <v>0</v>
      </c>
      <c r="AG1035" s="6">
        <f>IF($L166=$C$1016,$D$1016,IF($L166=$C$1015,$D$1015,IF($L166=$C$1014,$D$1014,IF($L166=$C$1013,$D$1013,IF($L166=$C$1012,$D$1012,IF($L166=$C$1011,$D$1011,IF($L166="",0)))))))</f>
        <v>0</v>
      </c>
      <c r="AH1035" s="4">
        <f>AG1035-AF1035</f>
        <v>0</v>
      </c>
      <c r="AJ1035" s="13">
        <f t="shared" ref="AJ1035:AJ1036" si="33">IF(OR(J1035=0,C1035=0),0,(K1035+W1035+AA1035+AH1035)/4)</f>
        <v>0</v>
      </c>
      <c r="AM1035" s="116">
        <f>K151</f>
        <v>0</v>
      </c>
      <c r="AN1035" s="6">
        <f>IF($F149="",($I149-$C149),($I149-$F149))</f>
        <v>0</v>
      </c>
      <c r="AO1035" s="106">
        <f>IF(AN1035=0,0,AN1035)</f>
        <v>0</v>
      </c>
      <c r="AP1035" s="1" t="str">
        <f>IF(AN1035&gt;0,CONCATENATE(", so ",(AN1035*-1),"% reduction. ")," so no % reduction. ")</f>
        <v xml:space="preserve"> so no % reduction. </v>
      </c>
      <c r="AR1035" s="4">
        <f>$G155</f>
        <v>0</v>
      </c>
      <c r="AT1035" s="1">
        <f>$G161</f>
        <v>0</v>
      </c>
      <c r="AV1035" s="1">
        <f>IF($M161=AX1028,AV1028,IF($M161=AX1029,AV1029,IF($M161=AX1030,AV1030,IF($M161=AX1031,AV1031,IF($M161=AX1032,AV1032,IF($M161=AX1033,AV1033,IF($M161="",0)))))))</f>
        <v>0</v>
      </c>
      <c r="AW1035" s="6" t="s">
        <v>3</v>
      </c>
      <c r="AX1035" s="115">
        <f>$L166</f>
        <v>0</v>
      </c>
      <c r="BA1035" s="1" t="str">
        <f>F164</f>
        <v/>
      </c>
      <c r="BB1035" s="4" t="str">
        <f>IF(BA1035="",BA$1034,BA1035)</f>
        <v>At the moment, my wellness goal is still evolving.</v>
      </c>
      <c r="BC1035" s="6" t="s">
        <v>3</v>
      </c>
      <c r="BI1035" s="1">
        <f>B1035</f>
        <v>1</v>
      </c>
      <c r="BJ1035" s="1">
        <f>C1035</f>
        <v>0</v>
      </c>
      <c r="BL1035" s="1">
        <f>IF(C149="",0,0.1)</f>
        <v>0</v>
      </c>
      <c r="BM1035" s="1">
        <f>IF(AND(F149="",I149=""),0,0.1)</f>
        <v>0</v>
      </c>
      <c r="BN1035" s="1">
        <f>IF(L149="",0,0.1)</f>
        <v>0</v>
      </c>
      <c r="BO1035" s="1">
        <f>IF(K151="",0,0.1)</f>
        <v>0</v>
      </c>
      <c r="BP1035" s="1">
        <f>IF(G155="",0,0.1)</f>
        <v>0</v>
      </c>
      <c r="BQ1035" s="1">
        <f>IF(G161="",0,0.1)</f>
        <v>0</v>
      </c>
      <c r="BR1035" s="1">
        <f>IF(M161="",0,0.1)</f>
        <v>0</v>
      </c>
      <c r="BS1035" s="1">
        <f>IF(C166="",0,0.1)</f>
        <v>0</v>
      </c>
      <c r="BT1035" s="1">
        <f>IF(AND(F166="",I166=""),0,0.1)</f>
        <v>0</v>
      </c>
      <c r="BU1035" s="1">
        <f>IF(L166="",0,0.1)</f>
        <v>0</v>
      </c>
      <c r="BV1035" s="151">
        <f>SUM(BL1035:BU1035)</f>
        <v>0</v>
      </c>
      <c r="BW1035" s="161">
        <v>1</v>
      </c>
      <c r="BX1035" s="148">
        <f>C149</f>
        <v>0</v>
      </c>
      <c r="BY1035" s="149">
        <f>IF(I166="",F166,I166)</f>
        <v>0</v>
      </c>
      <c r="BZ1035" s="150">
        <f>IF(BX1035&gt;BY1035,"",BY1035-BX1035)</f>
        <v>0</v>
      </c>
      <c r="CA1035" s="1">
        <f t="shared" ref="CA1035:CA1054" si="34">IF(BX1035=0,0,BX$1034-BX1035)</f>
        <v>0</v>
      </c>
      <c r="CB1035" s="1">
        <f>IF(AND(CA1035&gt;0,CA1035&lt;182),CONCATENATE(CA1035," days ago"),IF(AND(CA1035&gt;=182,CA1035&lt;366),"several months ago",IF(CA1035&gt;365,"over a year ago",IF(CA1035&lt;=0,0))))</f>
        <v>0</v>
      </c>
      <c r="CC1035" s="92">
        <f>$BX1035+14</f>
        <v>14</v>
      </c>
      <c r="CD1035" s="1">
        <f>MONTH(CC1035)</f>
        <v>1</v>
      </c>
      <c r="CE1035" s="1">
        <f>DAY(CC1035)</f>
        <v>14</v>
      </c>
      <c r="CF1035" s="1">
        <f>YEAR(CC1035)</f>
        <v>1900</v>
      </c>
      <c r="CG1035" s="4" t="str">
        <f>CONCATENATE(CD1035,"/",CE1035,"/",CF1035)</f>
        <v>1/14/1900</v>
      </c>
      <c r="CH1035" s="1">
        <f t="shared" ref="CH1035:CH1054" si="35">MONTH(BX1035)</f>
        <v>1</v>
      </c>
      <c r="CI1035" s="1" t="str">
        <f t="shared" ref="CI1035:CI1054" si="36">IF(CH1035=1,"January ",IF(CH1035=2,"February ",IF(CH1035=3,"March ",IF(CH1035=4,"April ",IF(CH1035=5,"May ",IF(CH1035=6,"June ",IF(CH1035=7,"July ",IF(CH1035=8,"August ",IF(CH1035=9,"September ",IF(CH1035=10,"October ",IF(CH1035=11,"November ",IF(CH1035=12,"December ",IF(CH1035=0,"")))))))))))))</f>
        <v xml:space="preserve">January </v>
      </c>
      <c r="CJ1035" s="1">
        <f t="shared" ref="CJ1035:CJ1054" si="37">DAY(BX1035)</f>
        <v>0</v>
      </c>
      <c r="CL1035" s="1" t="s">
        <v>266</v>
      </c>
      <c r="CM1035" s="1">
        <f t="shared" ref="CM1035:CM1054" si="38">YEAR(BX1035)</f>
        <v>1900</v>
      </c>
      <c r="CN1035" s="4" t="str">
        <f>IF(CM1035=1900,"",CONCATENATE(CI1035,CJ1035,CK1035,CL1035,CM1035))</f>
        <v/>
      </c>
      <c r="CP1035" s="142" t="str">
        <f>IF(M626=CR$1034,CR1035,IF(M626=CS$1034,CS1035,IF(M626=CT$1034,CT1035,IF(M626=CU$1034,CU1035,IF(M626=CV$1034,CV1035,IF(M626=CW$1034,CW1035,IF(M626=CX$1034,CX1035,IF(M626=CY$1034,CY1035,IF(M626=CZ$1034,CZ1035,IF(M626=DA$1034,DA1035,IF(DB$1034,DB1035,IF(M626="",""))))))))))))</f>
        <v>Congratulations on completing all these steps to engage 0. If you find 0 responsive enough to 'follow' your upcoming wellness campaign, great! Invite 0 when ready.</v>
      </c>
      <c r="CQ1035" s="168">
        <v>1</v>
      </c>
      <c r="CR1035" s="1" t="str">
        <f>CONCATENATE($DQ$1035,C1035,$DS$1035,C1035,$DU$1035)</f>
        <v>You have yet to invite 0 to this warmup wellness exercise. After you send 0 an INVITATION card, meme, or video, be sure to mark the date and proceed with these steps.</v>
      </c>
      <c r="CS1035" s="1" t="str">
        <f>CONCATENATE(DQ$1036,$C1035," ",$CB1035,DT$1036,$CN1035,DV$1036,$CA1035,DX$1036)</f>
        <v>You first invited 0 0, back on . Since 0 days have gone by, use the "follow-up" message template to remind them to share a need.</v>
      </c>
      <c r="CT1035" s="1" t="e" cm="1">
        <f t="array" aca="1" ref="CT1035" ca="1">IF(CC1035&gt;$BX$1034,CONCATENATE($DQ$1037,CG1035,$DS$1037,C1035,$DU$1037),CONCOTENATE($DX$1037,C1035,$DZ$1037,CG1035,$EB$1037))</f>
        <v>#NAME?</v>
      </c>
      <c r="CU1035" s="6" t="str">
        <f>CONCATENATE($DQ$1038,C1035,$DS$1038,C1035,$DU$1038)</f>
        <v>Estimate 0's level of urgency for their expressed need. In the next step, you can ask 0 how meaningful this need was for them. For now, trust your instinct of its urgency.</v>
      </c>
      <c r="CV1035" s="6" t="str">
        <f>CONCATENATE($DQ$1039,C1035,$DS$1039)</f>
        <v>Establish your 'responsive rating' by having 0 rate how satisfied with your efforts to serve their need. Use the "rate me" tab to solicit their feedback and check their urgency level.</v>
      </c>
      <c r="CW1035" s="6" t="str">
        <f>CONCATENATE($DQ$1040,C1035,$DS$1040,C1035,$DU$1040)</f>
        <v>So far, you're doing great with 0! With 50% of these steps completed, it's now time to give 0 a need of yours they can now honor. You can use the "PNP" tab for this.</v>
      </c>
      <c r="CX1035" s="6" t="str">
        <f>CONCATENATE($DQ$1041,C1035,$DS$1041)</f>
        <v xml:space="preserve">Now that you know how receptive 0 is to your shared need, check how responsive they are to your need. Your energing 'responsive rating' depends on this reciprocity. </v>
      </c>
      <c r="CY1035" s="6" t="str">
        <f>CONCATENATE($DQ$1042,C1035,$DS$1042)</f>
        <v>If satisfied with 0's level of responsiveness so far, use the "invite" tab to welcome them to follow your upcoming wellness campaign. It also shares their responsive score.</v>
      </c>
      <c r="CZ1035" s="6" t="str">
        <f ca="1">IF($BX$1034&lt;BY1035,CONCATENATE($DQ$1043,DJ1035,$DS$1043,C1035,$DU$1043),CONCATENATE($DX$1043,C1035,$DZ$1043,DJ1035,$EB$1043,C1035,$ED$1043))</f>
        <v>Since you received no response from 0 since 1/14/1900, mark "no reply" as their response level. Emotionally prepare yourself to drop 0 from consideration.</v>
      </c>
      <c r="DA1035" s="6" t="str">
        <f>CONCATENATE($DQ$1044,C1035,$DS$1044,C1035,$DU$1044)</f>
        <v>Like before, 0 may need a gentle reminder to repond to your invitation. Simply send 0 another "invite" tab message with their evolving responsive score.</v>
      </c>
      <c r="DB1035" s="6" t="str">
        <f>CONCATENATE($DQ$1045,C1035,$DS$1045,C1035,$DU$1045,C1035,$DW$1045)</f>
        <v>Congratulations on completing all these steps to engage 0. If you find 0 responsive enough to 'follow' your upcoming wellness campaign, great! Invite 0 when ready.</v>
      </c>
      <c r="DC1035" s="6" t="s">
        <v>3</v>
      </c>
      <c r="DD1035" s="154" t="s">
        <v>349</v>
      </c>
      <c r="DF1035" s="92">
        <f>$BY1035+14</f>
        <v>14</v>
      </c>
      <c r="DG1035" s="1">
        <f>MONTH(DF1035)</f>
        <v>1</v>
      </c>
      <c r="DH1035" s="1">
        <f>DAY(DF1035)</f>
        <v>14</v>
      </c>
      <c r="DI1035" s="1">
        <f>YEAR(DF1035)</f>
        <v>1900</v>
      </c>
      <c r="DJ1035" s="4" t="str">
        <f>CONCATENATE(DG1035,"/",DH1035,"/",DI1035)</f>
        <v>1/14/1900</v>
      </c>
      <c r="DO1035" s="4" t="str">
        <f>CONCATENATE(DQ1035,DR1035,DS1035,DT1035,DU1035,DV1035,DW1035,DX1035,DY1035)</f>
        <v>You have yet to invite this invitee to this warmup wellness exercise. After you send this invitee an INVITATION card, meme, or video, be sure to mark the date and proceed with these steps.</v>
      </c>
      <c r="DP1035" s="6" t="s">
        <v>3</v>
      </c>
      <c r="DQ1035" s="1" t="s">
        <v>362</v>
      </c>
      <c r="DR1035" s="1" t="s">
        <v>363</v>
      </c>
      <c r="DS1035" s="1" t="s">
        <v>361</v>
      </c>
      <c r="DT1035" s="1" t="str">
        <f>DR1035</f>
        <v>this invitee</v>
      </c>
      <c r="DU1035" s="1" t="s">
        <v>360</v>
      </c>
    </row>
    <row r="1036" spans="2:132" ht="13.5" hidden="1" thickBot="1" x14ac:dyDescent="0.35">
      <c r="B1036" s="1">
        <f t="shared" ref="B1036:B1054" si="39">B1035+1</f>
        <v>2</v>
      </c>
      <c r="C1036" s="1">
        <f t="shared" si="30"/>
        <v>0</v>
      </c>
      <c r="D1036" s="1">
        <f>C170</f>
        <v>0</v>
      </c>
      <c r="E1036" s="13">
        <f>L170</f>
        <v>0</v>
      </c>
      <c r="F1036" s="4">
        <f>L173</f>
        <v>0</v>
      </c>
      <c r="G1036" s="4">
        <f>IF(F1036=$C$1011,$D$1011,IF(F1036=$C$1012,$D$1012,IF(F1036=$C$1013,$D$1013,IF(F1036=$C$1014,$D$1014,IF(F1036=$C$1015,$D$1015,IF(F1036=$C$1016,$D$1016,IF(F1036=0,0)))))))</f>
        <v>0</v>
      </c>
      <c r="H1036" s="6">
        <f>IF(F173="",($I173-$C173)*0.01,($I173-$F173)*0.01)</f>
        <v>0</v>
      </c>
      <c r="I1036" s="6">
        <f>IF(K175=R$1011,S$1011,IF(K175=R$1012,S$1012,IF(K175=R$1013,S$1013,IF(K175=R$1014,S$1014,IF(K175=R$1015,S$1015,IF(K175=R$1016,S$1016,IF(K175="",0)))))))</f>
        <v>0</v>
      </c>
      <c r="J1036" s="6">
        <f t="shared" ref="J1036:J1054" si="40">IF(F1036=$C$1016,$D$1016,IF(F1036=$C$1015,$D$1015,IF(F1036=$C$1014,$D$1014,IF(F1036=$C$1013,$D$1013,IF(F1036=$C$1012,$D$1012,IF(F1036=$C$1011,$D$1011,IF(F1036=0,0)))))))</f>
        <v>0</v>
      </c>
      <c r="K1036" s="5">
        <f>(J1036+I$1036)/2-H1036</f>
        <v>0</v>
      </c>
      <c r="L1036" s="3">
        <f t="shared" ref="L1036:L1054" si="41">IF(F1036&lt;&gt;0,1,0)</f>
        <v>0</v>
      </c>
      <c r="M1036" s="1" t="str">
        <f t="shared" ref="M1036:M1054" si="42">IF(G1036&gt;0,G1036,"")</f>
        <v/>
      </c>
      <c r="N1036" s="1">
        <f>IF(C170=$H$1011,K1036,0)</f>
        <v>0</v>
      </c>
      <c r="O1036" s="10">
        <f t="shared" si="31"/>
        <v>0</v>
      </c>
      <c r="P1036" s="1">
        <f>IF(C170=$H$1012,L1036,0)</f>
        <v>0</v>
      </c>
      <c r="Q1036" s="10">
        <f t="shared" si="32"/>
        <v>0</v>
      </c>
      <c r="R1036" s="13">
        <f t="shared" ref="R1036:R1054" si="43">E1036</f>
        <v>0</v>
      </c>
      <c r="S1036" s="1">
        <f t="shared" ref="S1036:S1054" si="44">IF(AND($R1036=$F$1011,$G1036&gt;0.75),1,0)</f>
        <v>0</v>
      </c>
      <c r="T1036" s="1">
        <f t="shared" ref="T1036:T1054" si="45">IF(AND($R1036=$F$1012,$G1036&gt;0.75),1,0)</f>
        <v>0</v>
      </c>
      <c r="U1036" s="1">
        <f t="shared" ref="U1036:U1054" si="46">IF(AND($R1036=$F$1013,$G1036&gt;0.75),1,0)</f>
        <v>0</v>
      </c>
      <c r="W1036" s="4">
        <f>IF($G179=U$1011,W$1011,IF($G179=U$1012,W$1012,IF($G179=U$1013,W$1013,IF($G179=U$1014,W$1014,IF($G179=U$1015,W$1015,IF($G179=U$1016,W$1016,IF($G179="",0)))))))</f>
        <v>0</v>
      </c>
      <c r="X1036" s="1">
        <f>IF($G185=X$1011,Y$1011,IF($G185=X$1012,Y$1012,IF($G185=X$1013,Y$1013,IF($G185=X$1014,Y$1014,IF($G185=X$1015,Y$1015,IF($G185=X$1016,Y$1016,IF($G185="",0)))))))</f>
        <v>0</v>
      </c>
      <c r="Y1036" s="1">
        <f>IF($M185=C$1011,D$1011,IF($M185=C$1012,D$1012,IF($M185=C$1013,D$1013,IF($M185=C$1014,D$1014,IF($M185=C$1015,D$1015,IF($M185=C$1016,D$1016,IF($M185="",0)))))))</f>
        <v>0</v>
      </c>
      <c r="Z1036" s="59">
        <f t="shared" ref="Z1036:Z1054" si="47">IF(K175=R$1011,S$1011,IF(K175=R$1012,S$1012,IF(K175=R$1013,S$1013,IF(K175=R$1014,S$1014,IF(K175=R$1015,S$1015,IF(K175=R$1016,S$1016,IF(K175="",0)))))))</f>
        <v>0</v>
      </c>
      <c r="AA1036" s="54">
        <f>IF(OR(G185="",M185=""),0,(X1036+Y1036)/2)</f>
        <v>0</v>
      </c>
      <c r="AD1036" s="4">
        <f>IF(AC1036=$C$1011,$D$1011,IF(AC1036=$C$1012,$D$1012,IF(AC1036=$C$1013,$D$1013,IF(AC1036=$C$1014,$D$1014,IF(AC1036=$C$1015,$D$1015,IF(AC1036=$C$1016,$D1017,IF(AC1036=0,0)))))))</f>
        <v>0</v>
      </c>
      <c r="AE1036" s="6">
        <f>IF($F190="",$I190-$C190,$I190-$F190)</f>
        <v>0</v>
      </c>
      <c r="AF1036" s="6">
        <f>AE1036*0.01</f>
        <v>0</v>
      </c>
      <c r="AG1036" s="6">
        <f>IF($L190=$C$1016,$D$1016,IF($L190=$C$1015,$D$1015,IF($L190=$C$1014,$D$1014,IF($L190=$C$1013,$D$1013,IF($L190=$C$1012,$D$1012,IF($L190=$C$1011,$D$1011,IF($L190="",0)))))))</f>
        <v>0</v>
      </c>
      <c r="AH1036" s="4">
        <f>AG1036-AF1036</f>
        <v>0</v>
      </c>
      <c r="AJ1036" s="13">
        <f t="shared" si="33"/>
        <v>0</v>
      </c>
      <c r="AM1036" s="116">
        <f>K175</f>
        <v>0</v>
      </c>
      <c r="AN1036" s="6">
        <f>IF(AL173="",($I173-$C173),($I173-$F173))</f>
        <v>0</v>
      </c>
      <c r="AO1036" s="106" t="str">
        <f t="shared" ref="AO1036:AO1054" si="48">IF(AN1036=0,"",AN1036)</f>
        <v/>
      </c>
      <c r="AP1036" s="1" t="str">
        <f t="shared" ref="AP1036:AP1054" si="49">IF(AN1036&gt;0,CONCATENATE(", so ",(AN1036*-1),"% reduction. ")," so no % reduction. ")</f>
        <v xml:space="preserve"> so no % reduction. </v>
      </c>
      <c r="AR1036" s="4">
        <f>$G179</f>
        <v>0</v>
      </c>
      <c r="AT1036" s="1">
        <f>$G185</f>
        <v>0</v>
      </c>
      <c r="AV1036" s="1">
        <f>IF($M185=AX$1028,AV$1028,IF($M185=AX$1029,AV$1029,IF($M185=AX$1030,AV$1030,IF($M185=AX$1031,AV$1031,IF($M185=AX$1032,AV$1032,IF($M185=AX$1033,AV$1033,IF($M185="",0)))))))</f>
        <v>0</v>
      </c>
      <c r="AW1036" s="6" t="s">
        <v>3</v>
      </c>
      <c r="AX1036" s="115">
        <f>$L190</f>
        <v>0</v>
      </c>
      <c r="BA1036" s="1" t="str">
        <f>F188</f>
        <v/>
      </c>
      <c r="BB1036" s="4" t="str">
        <f t="shared" ref="BB1036:BB1054" si="50">IF(BA1036="",BA$1034,BA1036)</f>
        <v>At the moment, my wellness goal is still evolving.</v>
      </c>
      <c r="BC1036" s="6" t="s">
        <v>3</v>
      </c>
      <c r="BI1036" s="1">
        <f t="shared" ref="BI1036:BI1054" si="51">B1036</f>
        <v>2</v>
      </c>
      <c r="BJ1036" s="1">
        <f t="shared" ref="BJ1036:BJ1054" si="52">C1036</f>
        <v>0</v>
      </c>
      <c r="BL1036" s="1">
        <f>IF(C173="",0,0.1)</f>
        <v>0</v>
      </c>
      <c r="BM1036" s="1">
        <f>IF(AND(F173="",I173=""),0,0.1)</f>
        <v>0</v>
      </c>
      <c r="BN1036" s="1">
        <f>IF(L173="",0,0.1)</f>
        <v>0</v>
      </c>
      <c r="BO1036" s="1">
        <f>IF(K175="",0,0.1)</f>
        <v>0</v>
      </c>
      <c r="BP1036" s="1">
        <f>IF(G179="",0,0.1)</f>
        <v>0</v>
      </c>
      <c r="BQ1036" s="1">
        <f>IF(G185="",0,0.1)</f>
        <v>0</v>
      </c>
      <c r="BR1036" s="1">
        <f>IF(M185="",0,0.1)</f>
        <v>0</v>
      </c>
      <c r="BS1036" s="1">
        <f>IF(C190="",0,0.1)</f>
        <v>0</v>
      </c>
      <c r="BT1036" s="1">
        <f>IF(AND(F190="",I190=""),0,0.1)</f>
        <v>0</v>
      </c>
      <c r="BU1036" s="1">
        <f>IF(L190="",0,0.1)</f>
        <v>0</v>
      </c>
      <c r="BV1036" s="151">
        <f>SUM(BL1036:BU1036)</f>
        <v>0</v>
      </c>
      <c r="BW1036" s="161">
        <v>2</v>
      </c>
      <c r="BX1036" s="148">
        <f>C173</f>
        <v>0</v>
      </c>
      <c r="BY1036" s="149">
        <f>IF(I190="",F190,I190)</f>
        <v>0</v>
      </c>
      <c r="BZ1036" s="150">
        <f t="shared" ref="BZ1036:BZ1054" si="53">IF(BX1036&gt;BY1036,"",BY1036-BX1036)</f>
        <v>0</v>
      </c>
      <c r="CA1036" s="1">
        <f t="shared" si="34"/>
        <v>0</v>
      </c>
      <c r="CB1036" s="1">
        <f>IF(AND(CA1036&gt;0,CA1036&lt;182),CONCATENATE(CA1036," days ago"),IF(AND(CA1036&gt;=182,CA1036&lt;366),"several months ago",IF(CA1036&gt;365,"over a year ago",IF(CA1036&lt;=0,0))))</f>
        <v>0</v>
      </c>
      <c r="CC1036" s="92">
        <f t="shared" ref="CC1036:CC1054" si="54">$BX1036+14</f>
        <v>14</v>
      </c>
      <c r="CD1036" s="1">
        <f t="shared" ref="CD1036:CD1054" si="55">MONTH(CC1036)</f>
        <v>1</v>
      </c>
      <c r="CE1036" s="1">
        <f t="shared" ref="CE1036:CE1054" si="56">DAY(CC1036)</f>
        <v>14</v>
      </c>
      <c r="CF1036" s="1">
        <f t="shared" ref="CF1036:CF1054" si="57">YEAR(CC1036)</f>
        <v>1900</v>
      </c>
      <c r="CG1036" s="4" t="str">
        <f t="shared" ref="CG1036:CG1054" si="58">CONCATENATE(CD1036,"/",CE1036,"/",CF1036)</f>
        <v>1/14/1900</v>
      </c>
      <c r="CH1036" s="1">
        <f t="shared" si="35"/>
        <v>1</v>
      </c>
      <c r="CI1036" s="1" t="str">
        <f t="shared" si="36"/>
        <v xml:space="preserve">January </v>
      </c>
      <c r="CJ1036" s="1">
        <f t="shared" si="37"/>
        <v>0</v>
      </c>
      <c r="CL1036" s="1" t="s">
        <v>266</v>
      </c>
      <c r="CM1036" s="1">
        <f t="shared" si="38"/>
        <v>1900</v>
      </c>
      <c r="CN1036" s="4" t="str">
        <f t="shared" ref="CN1036:CN1054" si="59">IF(CM1036=1900,"",CONCATENATE(CI1036,CJ1036,CK1036,CL1036,CM1036))</f>
        <v/>
      </c>
      <c r="CP1036" s="142" t="str">
        <f>IF(M628=CR$1034,CR1036,IF(M628=CS$1034,CS1036,IF(M628=CT$1034,CT1036,IF(M628=CU$1034,CU1036,IF(M628=CV$1034,CV1036,IF(M628=CW$1034,CW1036,IF(M628=CX$1034,CX1036,IF(M628=CY$1034,CY1036,IF(M628=CZ$1034,CZ1036,IF(M628=DA$1034,DA1036,IF(DB$1034,DB1036,IF(M628="",""))))))))))))</f>
        <v>Congratulations on completing all these steps to engage 0. If you find 0 responsive enough to 'follow' your upcoming wellness campaign, great! Invite 0 when ready.</v>
      </c>
      <c r="CQ1036" s="168">
        <v>2</v>
      </c>
      <c r="CR1036" s="1" t="str">
        <f>CONCATENATE($DQ$1035,C1036,$DS$1035,C1036,$DU$1035)</f>
        <v>You have yet to invite 0 to this warmup wellness exercise. After you send 0 an INVITATION card, meme, or video, be sure to mark the date and proceed with these steps.</v>
      </c>
      <c r="CS1036" s="1" t="str">
        <f>CONCATENATE(DQ$1036,$C1036," ",$CB1036,DT$1036,$CN1036,DV$1036,$CA1036,DX$1036)</f>
        <v>You first invited 0 0, back on . Since 0 days have gone by, use the "follow-up" message template to remind them to share a need.</v>
      </c>
      <c r="CT1036" s="1" t="e" cm="1">
        <f t="array" aca="1" ref="CT1036" ca="1">IF(CC1036&gt;$BX$1034,CONCATENATE($DQ$1037,CG1036,$DS$1037,C1036,$DU$1037),CONCOTENATE($DX$1037,C1036,$DZ$1037,CG1036,$EB$1037))</f>
        <v>#NAME?</v>
      </c>
      <c r="CU1036" s="6" t="str">
        <f>CONCATENATE($DQ$1038,C1036,$DS$1038,C1036,$DU$1038)</f>
        <v>Estimate 0's level of urgency for their expressed need. In the next step, you can ask 0 how meaningful this need was for them. For now, trust your instinct of its urgency.</v>
      </c>
      <c r="CV1036" s="6" t="str">
        <f>CONCATENATE($DQ$1039,C1036,$DS$1039)</f>
        <v>Establish your 'responsive rating' by having 0 rate how satisfied with your efforts to serve their need. Use the "rate me" tab to solicit their feedback and check their urgency level.</v>
      </c>
      <c r="CW1036" s="6" t="str">
        <f t="shared" ref="CW1036:CW1054" si="60">CONCATENATE($DQ$1040,C1036,$DS$1040,C1036,$DU$1040)</f>
        <v>So far, you're doing great with 0! With 50% of these steps completed, it's now time to give 0 a need of yours they can now honor. You can use the "PNP" tab for this.</v>
      </c>
      <c r="CX1036" s="6" t="str">
        <f>CONCATENATE($DQ$1041,C1036,$DS$1041)</f>
        <v xml:space="preserve">Now that you know how receptive 0 is to your shared need, check how responsive they are to your need. Your energing 'responsive rating' depends on this reciprocity. </v>
      </c>
      <c r="CY1036" s="6" t="str">
        <f>CONCATENATE($DQ$1042,C1036,$DS$1042)</f>
        <v>If satisfied with 0's level of responsiveness so far, use the "invite" tab to welcome them to follow your upcoming wellness campaign. It also shares their responsive score.</v>
      </c>
      <c r="CZ1036" s="6" t="str">
        <f ca="1">IF($BX$1034&lt;BY1036,CONCATENATE($DQ$1043,DJ1036,$DS$1043,C1036,$DU$1043),CONCATENATE($DX$1043,C1036,$DZ$1043,DJ1036,$EB$1043,C1036,$ED$1043))</f>
        <v>Since you received no response from 0 since 1/14/1900, mark "no reply" as their response level. Emotionally prepare yourself to drop 0 from consideration.</v>
      </c>
      <c r="DA1036" s="6" t="str">
        <f>CONCATENATE($DQ$1044,C1036,$DS$1044,C1036,$DU$1044)</f>
        <v>Like before, 0 may need a gentle reminder to repond to your invitation. Simply send 0 another "invite" tab message with their evolving responsive score.</v>
      </c>
      <c r="DB1036" s="6" t="str">
        <f>CONCATENATE($DQ$1045,C1036,$DS$1045,C1036,$DU$1045,C1036,$DW$1045)</f>
        <v>Congratulations on completing all these steps to engage 0. If you find 0 responsive enough to 'follow' your upcoming wellness campaign, great! Invite 0 when ready.</v>
      </c>
      <c r="DC1036" s="6" t="s">
        <v>3</v>
      </c>
      <c r="DD1036" s="154" t="s">
        <v>350</v>
      </c>
      <c r="DF1036" s="92">
        <f t="shared" ref="DF1036:DF1054" si="61">$BY1036+14</f>
        <v>14</v>
      </c>
      <c r="DG1036" s="1">
        <f t="shared" ref="DG1036:DG1054" si="62">MONTH(DF1036)</f>
        <v>1</v>
      </c>
      <c r="DH1036" s="1">
        <f t="shared" ref="DH1036:DH1054" si="63">DAY(DF1036)</f>
        <v>14</v>
      </c>
      <c r="DI1036" s="1">
        <f t="shared" ref="DI1036:DI1054" si="64">YEAR(DF1036)</f>
        <v>1900</v>
      </c>
      <c r="DJ1036" s="4" t="str">
        <f t="shared" ref="DJ1036:DJ1054" si="65">CONCATENATE(DG1036,"/",DH1036,"/",DI1036)</f>
        <v>1/14/1900</v>
      </c>
      <c r="DO1036" s="4" t="str">
        <f>CONCATENATE(DQ1036,DR1036,DS1036,DT1036,DU1036,DV1036,DW1036,DX1036,DY1036)</f>
        <v>You first invited this invitee0, back on . Since  days have gone by, use the "follow-up" message template to remind them to share a need.</v>
      </c>
      <c r="DP1036" s="6" t="s">
        <v>3</v>
      </c>
      <c r="DQ1036" s="1" t="s">
        <v>364</v>
      </c>
      <c r="DR1036" s="1" t="s">
        <v>363</v>
      </c>
      <c r="DS1036" s="1">
        <f>CB1035</f>
        <v>0</v>
      </c>
      <c r="DT1036" s="1" t="s">
        <v>365</v>
      </c>
      <c r="DV1036" s="1" t="s">
        <v>366</v>
      </c>
      <c r="DX1036" s="1" t="s">
        <v>367</v>
      </c>
    </row>
    <row r="1037" spans="2:132" ht="13.5" hidden="1" thickBot="1" x14ac:dyDescent="0.35">
      <c r="B1037" s="1">
        <f t="shared" si="39"/>
        <v>3</v>
      </c>
      <c r="C1037" s="1">
        <f t="shared" si="30"/>
        <v>0</v>
      </c>
      <c r="D1037" s="1">
        <f>C194</f>
        <v>0</v>
      </c>
      <c r="E1037" s="13">
        <f>L194</f>
        <v>0</v>
      </c>
      <c r="F1037" s="4">
        <f>L197</f>
        <v>0</v>
      </c>
      <c r="G1037" s="4">
        <f>IF(F1037=$C$1011,$D$1011,IF(F1037=$C$1012,$D$1012,IF(F1037=$C$1013,$D$1013,IF(F1037=$C$1014,$D$1014,IF(F1037=$C$1015,$D$1015,IF(F1037=$C$1016,$D$1016,IF(F1037=0,0)))))))</f>
        <v>0</v>
      </c>
      <c r="H1037" s="6">
        <f>IF(F197="",($I197-$C197)*0.01,($I197-$F197)*0.01)</f>
        <v>0</v>
      </c>
      <c r="I1037" s="6">
        <f>IF(K199=R$1011,S$1011,IF(K199=R$1012,S$1012,IF(K199=R$1013,S$1013,IF(K199=R$1014,S$1014,IF(K199=R$1015,S$1015,IF(K199=R$1016,S$1016,IF(K199="",0)))))))</f>
        <v>0</v>
      </c>
      <c r="J1037" s="6">
        <f t="shared" si="40"/>
        <v>0</v>
      </c>
      <c r="K1037" s="5">
        <f>(J1037+I$1037)/2-H1037</f>
        <v>0</v>
      </c>
      <c r="L1037" s="3">
        <f t="shared" si="41"/>
        <v>0</v>
      </c>
      <c r="M1037" s="1" t="str">
        <f t="shared" si="42"/>
        <v/>
      </c>
      <c r="N1037" s="1">
        <f>IF(C194=$H$1011,K1037,0)</f>
        <v>0</v>
      </c>
      <c r="O1037" s="10">
        <f t="shared" si="31"/>
        <v>0</v>
      </c>
      <c r="P1037" s="1">
        <f>IF(C194=$H$1012,L1037,0)</f>
        <v>0</v>
      </c>
      <c r="Q1037" s="10">
        <f t="shared" si="32"/>
        <v>0</v>
      </c>
      <c r="R1037" s="13">
        <f t="shared" si="43"/>
        <v>0</v>
      </c>
      <c r="S1037" s="1">
        <f t="shared" si="44"/>
        <v>0</v>
      </c>
      <c r="T1037" s="1">
        <f t="shared" si="45"/>
        <v>0</v>
      </c>
      <c r="U1037" s="1">
        <f t="shared" si="46"/>
        <v>0</v>
      </c>
      <c r="W1037" s="4">
        <f>IF($G203=U$1011,W$1011,IF($G203=U$1012,W$1012,IF($G203=U$1013,W$1013,IF($G203=U$1014,W$1014,IF($G203=U$1015,W$1015,IF($G203=U$1016,W$1016,IF($G203="",0)))))))</f>
        <v>0</v>
      </c>
      <c r="X1037" s="1">
        <f>IF($G209=X$1011,Y$1011,IF($G209=X$1012,Y$1012,IF($G209=X$1013,Y$1013,IF($G209=X$1014,Y$1014,IF($G209=X$1015,Y$1015,IF($G209=X$1016,Y$1016,IF($G209="",0)))))))</f>
        <v>0</v>
      </c>
      <c r="Y1037" s="1">
        <f>IF($M209=C$1011,D$1011,IF($M209=C$1012,D$1012,IF($M209=C$1013,D$1013,IF($M209=C$1014,D$1014,IF($M209=C$1015,D$1015,IF($M209=C$1016,D$1016,IF($M209="",0)))))))</f>
        <v>0</v>
      </c>
      <c r="Z1037" s="59">
        <f t="shared" si="47"/>
        <v>0</v>
      </c>
      <c r="AA1037" s="54">
        <f>IF(OR(G209="",M209=""),0,(X1037+Y1037)/2)</f>
        <v>0</v>
      </c>
      <c r="AD1037" s="4">
        <f>IF(AC1037=$C$1011,$D$1011,IF(AC1037=$C$1012,$D$1012,IF(AC1037=$C$1013,$D$1013,IF(AC1037=$C$1014,$D$1014,IF(AC1037=$C$1015,$D$1015,IF(AC1037=$C$1016,$D1018,IF(AC1037=0,0)))))))</f>
        <v>0</v>
      </c>
      <c r="AE1037" s="6">
        <f>IF($F214="",$I214-$C214,$I214-$F214)</f>
        <v>0</v>
      </c>
      <c r="AF1037" s="6">
        <f>AE1037*0.01</f>
        <v>0</v>
      </c>
      <c r="AG1037" s="6">
        <f>IF($L214=$C$1016,$D$1016,IF($L214=$C$1015,$D$1015,IF($L214=$C$1014,$D$1014,IF($L214=$C$1013,$D$1013,IF($L214=$C$1012,$D$1012,IF($L214=$C$1011,$D$1011,IF($L214="",0)))))))</f>
        <v>0</v>
      </c>
      <c r="AH1037" s="4">
        <f>AG1037-AF1037</f>
        <v>0</v>
      </c>
      <c r="AJ1037" s="13">
        <f>IF(OR(J1037=0,C1037=0),0,(K1037+W1037+AA1037+AH1037)/4)</f>
        <v>0</v>
      </c>
      <c r="AM1037" s="116">
        <f>K199</f>
        <v>0</v>
      </c>
      <c r="AN1037" s="6">
        <f>IF(AL197="",($I197-$C197),($I197-$F197))</f>
        <v>0</v>
      </c>
      <c r="AO1037" s="106" t="str">
        <f t="shared" si="48"/>
        <v/>
      </c>
      <c r="AP1037" s="1" t="str">
        <f t="shared" si="49"/>
        <v xml:space="preserve"> so no % reduction. </v>
      </c>
      <c r="AR1037" s="4">
        <f>$G203</f>
        <v>0</v>
      </c>
      <c r="AT1037" s="1">
        <f>$G209</f>
        <v>0</v>
      </c>
      <c r="AV1037" s="1">
        <f>IF($M209=AX1028,AV1028,IF($M209=AX1029,AV1029,IF($M209=AX1030,AV1030,IF($M209=AX1031,AV1031,IF($M209=AX1032,AV1032,IF($M209=AX1033,AV1033,IF($M209="",0)))))))</f>
        <v>0</v>
      </c>
      <c r="AW1037" s="6" t="s">
        <v>3</v>
      </c>
      <c r="AX1037" s="115">
        <f>$L207</f>
        <v>0</v>
      </c>
      <c r="BA1037" s="1" t="str">
        <f>F212</f>
        <v/>
      </c>
      <c r="BB1037" s="4" t="str">
        <f t="shared" si="50"/>
        <v>At the moment, my wellness goal is still evolving.</v>
      </c>
      <c r="BC1037" s="6" t="s">
        <v>3</v>
      </c>
      <c r="BI1037" s="1">
        <f t="shared" si="51"/>
        <v>3</v>
      </c>
      <c r="BJ1037" s="1">
        <f t="shared" si="52"/>
        <v>0</v>
      </c>
      <c r="BL1037" s="1">
        <f>IF(C197="",0,0.1)</f>
        <v>0</v>
      </c>
      <c r="BM1037" s="1">
        <f>IF(AND(F197="",I197=""),0,0.1)</f>
        <v>0</v>
      </c>
      <c r="BN1037" s="1">
        <f>IF(L197="",0,0.1)</f>
        <v>0</v>
      </c>
      <c r="BO1037" s="1">
        <f>IF(K199="",0,0.1)</f>
        <v>0</v>
      </c>
      <c r="BP1037" s="1">
        <f>IF(G203="",0,0.1)</f>
        <v>0</v>
      </c>
      <c r="BQ1037" s="1">
        <f>IF(G209="",0,0.1)</f>
        <v>0</v>
      </c>
      <c r="BR1037" s="1">
        <f>IF(M209="",0,0.1)</f>
        <v>0</v>
      </c>
      <c r="BS1037" s="1">
        <f>IF(C214="",0,0.1)</f>
        <v>0</v>
      </c>
      <c r="BT1037" s="1">
        <f>IF(AND(F214="",I214=""),0,0.1)</f>
        <v>0</v>
      </c>
      <c r="BU1037" s="1">
        <f>IF(L214="",0,0.1)</f>
        <v>0</v>
      </c>
      <c r="BV1037" s="151">
        <f t="shared" ref="BV1037:BV1054" si="66">SUM(BL1037:BU1037)</f>
        <v>0</v>
      </c>
      <c r="BW1037" s="161">
        <v>3</v>
      </c>
      <c r="BX1037" s="148">
        <f>C197</f>
        <v>0</v>
      </c>
      <c r="BY1037" s="149">
        <f>IF(I214="",F214,I214)</f>
        <v>0</v>
      </c>
      <c r="BZ1037" s="150">
        <f t="shared" si="53"/>
        <v>0</v>
      </c>
      <c r="CA1037" s="1">
        <f t="shared" si="34"/>
        <v>0</v>
      </c>
      <c r="CB1037" s="1">
        <f t="shared" ref="CB1037:CB1054" si="67">IF(AND(CA1037&gt;0,CA1037&lt;366),CONCATENATE(CA1037," days ago"),IF(CA1037&gt;365,"over a year ago",IF(CA1037&lt;=0,0)))</f>
        <v>0</v>
      </c>
      <c r="CC1037" s="92">
        <f t="shared" si="54"/>
        <v>14</v>
      </c>
      <c r="CD1037" s="1">
        <f t="shared" si="55"/>
        <v>1</v>
      </c>
      <c r="CE1037" s="1">
        <f t="shared" si="56"/>
        <v>14</v>
      </c>
      <c r="CF1037" s="1">
        <f t="shared" si="57"/>
        <v>1900</v>
      </c>
      <c r="CG1037" s="4" t="str">
        <f t="shared" si="58"/>
        <v>1/14/1900</v>
      </c>
      <c r="CH1037" s="1">
        <f t="shared" si="35"/>
        <v>1</v>
      </c>
      <c r="CI1037" s="1" t="str">
        <f t="shared" si="36"/>
        <v xml:space="preserve">January </v>
      </c>
      <c r="CJ1037" s="1">
        <f t="shared" si="37"/>
        <v>0</v>
      </c>
      <c r="CL1037" s="1" t="s">
        <v>266</v>
      </c>
      <c r="CM1037" s="1">
        <f t="shared" si="38"/>
        <v>1900</v>
      </c>
      <c r="CN1037" s="4" t="str">
        <f t="shared" si="59"/>
        <v/>
      </c>
      <c r="CP1037" s="142" t="str">
        <f>IF(M630=CR$1034,CR1037,IF(M630=CS$1034,CS1037,IF(M630=CT$1034,CT1037,IF(M630=CU$1034,CU1037,IF(M630=CV$1034,CV1037,IF(M630=CW$1034,CW1037,IF(M630=CX$1034,CX1037,IF(M630=CY$1034,CY1037,IF(M630=CZ$1034,CZ1037,IF(M630=DA$1034,DA1037,IF(DB$1034,DB1037,IF(M630="",""))))))))))))</f>
        <v>Congratulations on completing all these steps to engage 0. If you find 0 responsive enough to 'follow' your upcoming wellness campaign, great! Invite 0 when ready.</v>
      </c>
      <c r="CQ1037" s="168">
        <v>3</v>
      </c>
      <c r="CR1037" s="1" t="str">
        <f t="shared" ref="CR1037:CR1054" si="68">CONCATENATE($DQ$1035,C1037,$DS$1035,C1037,$DU$1035)</f>
        <v>You have yet to invite 0 to this warmup wellness exercise. After you send 0 an INVITATION card, meme, or video, be sure to mark the date and proceed with these steps.</v>
      </c>
      <c r="CS1037" s="1" t="str">
        <f t="shared" ref="CS1037:CS1054" si="69">CONCATENATE(DQ$1036,$C1037," ",$CB1037,DT$1036,$CN1037,DV$1036,$CA1037,DX$1036)</f>
        <v>You first invited 0 0, back on . Since 0 days have gone by, use the "follow-up" message template to remind them to share a need.</v>
      </c>
      <c r="CT1037" s="1" t="e" cm="1">
        <f t="array" aca="1" ref="CT1037" ca="1">IF(CC1037&gt;$BX$1034,CONCATENATE($DQ$1037,CG1037,$DS$1037,C1037,$DU$1037),CONCOTENATE($DX$1037,C1037,$DZ$1037,CG1037,$EB$1037))</f>
        <v>#NAME?</v>
      </c>
      <c r="CU1037" s="6" t="str">
        <f t="shared" ref="CU1037:CU1054" si="70">CONCATENATE($DQ$1038,C1037,$DS$1038,C1037,$DU$1038)</f>
        <v>Estimate 0's level of urgency for their expressed need. In the next step, you can ask 0 how meaningful this need was for them. For now, trust your instinct of its urgency.</v>
      </c>
      <c r="CV1037" s="6" t="str">
        <f t="shared" ref="CV1037:CV1054" si="71">CONCATENATE($DQ$1039,C1037,$DS$1039)</f>
        <v>Establish your 'responsive rating' by having 0 rate how satisfied with your efforts to serve their need. Use the "rate me" tab to solicit their feedback and check their urgency level.</v>
      </c>
      <c r="CW1037" s="6" t="str">
        <f t="shared" si="60"/>
        <v>So far, you're doing great with 0! With 50% of these steps completed, it's now time to give 0 a need of yours they can now honor. You can use the "PNP" tab for this.</v>
      </c>
      <c r="CX1037" s="6" t="str">
        <f>CONCATENATE($DQ$1041,C1037,$DS$1041)</f>
        <v xml:space="preserve">Now that you know how receptive 0 is to your shared need, check how responsive they are to your need. Your energing 'responsive rating' depends on this reciprocity. </v>
      </c>
      <c r="CY1037" s="6" t="str">
        <f>CONCATENATE($DQ$1042,C1037,$DS$1042)</f>
        <v>If satisfied with 0's level of responsiveness so far, use the "invite" tab to welcome them to follow your upcoming wellness campaign. It also shares their responsive score.</v>
      </c>
      <c r="CZ1037" s="6" t="str">
        <f ca="1">IF($BX$1034&lt;BY1037,CONCATENATE($DQ$1043,DJ1037,$DS$1043,C1037,$DU$1043),CONCATENATE($DX$1043,C1037,$DZ$1043,DJ1037,$EB$1043,C1037,$ED$1043))</f>
        <v>Since you received no response from 0 since 1/14/1900, mark "no reply" as their response level. Emotionally prepare yourself to drop 0 from consideration.</v>
      </c>
      <c r="DA1037" s="6" t="str">
        <f>CONCATENATE($DQ$1044,C1037,$DS$1044,C1037,$DU$1044)</f>
        <v>Like before, 0 may need a gentle reminder to repond to your invitation. Simply send 0 another "invite" tab message with their evolving responsive score.</v>
      </c>
      <c r="DB1037" s="6" t="str">
        <f>CONCATENATE($DQ$1045,C1037,$DS$1045,C1037,$DU$1045,C1037,$DW$1045)</f>
        <v>Congratulations on completing all these steps to engage 0. If you find 0 responsive enough to 'follow' your upcoming wellness campaign, great! Invite 0 when ready.</v>
      </c>
      <c r="DC1037" s="6" t="s">
        <v>3</v>
      </c>
      <c r="DD1037" s="154" t="s">
        <v>351</v>
      </c>
      <c r="DF1037" s="92">
        <f t="shared" si="61"/>
        <v>14</v>
      </c>
      <c r="DG1037" s="1">
        <f t="shared" si="62"/>
        <v>1</v>
      </c>
      <c r="DH1037" s="1">
        <f t="shared" si="63"/>
        <v>14</v>
      </c>
      <c r="DI1037" s="1">
        <f t="shared" si="64"/>
        <v>1900</v>
      </c>
      <c r="DJ1037" s="4" t="str">
        <f t="shared" si="65"/>
        <v>1/14/1900</v>
      </c>
      <c r="DQ1037" s="1" t="s">
        <v>368</v>
      </c>
      <c r="DS1037" s="1" t="s">
        <v>369</v>
      </c>
      <c r="DU1037" s="6" t="s">
        <v>371</v>
      </c>
      <c r="DV1037" s="4" t="str">
        <f>CONCATENATE(DX1037,DY1037,DZ1037,EA1037,EB1037)</f>
        <v>Since you received no response from  since , mark "no reply" as their response level. Move on to the next invitee. Maybe find a new one.</v>
      </c>
      <c r="DW1037" s="6" t="s">
        <v>3</v>
      </c>
      <c r="DX1037" s="1" t="s">
        <v>372</v>
      </c>
      <c r="DZ1037" s="1" t="s">
        <v>374</v>
      </c>
      <c r="EB1037" s="1" t="s">
        <v>373</v>
      </c>
    </row>
    <row r="1038" spans="2:132" ht="13.5" hidden="1" thickBot="1" x14ac:dyDescent="0.35">
      <c r="B1038" s="1">
        <f t="shared" si="39"/>
        <v>4</v>
      </c>
      <c r="C1038" s="1">
        <f t="shared" si="30"/>
        <v>0</v>
      </c>
      <c r="D1038" s="1">
        <f>C218</f>
        <v>0</v>
      </c>
      <c r="E1038" s="13">
        <f>L218</f>
        <v>0</v>
      </c>
      <c r="F1038" s="4">
        <f>L221</f>
        <v>0</v>
      </c>
      <c r="G1038" s="4">
        <f>IF(F1038=$C$1011,$D$1011,IF(F1038=$C$1012,$D$1012,IF(F1038=$C$1013,$D$1013,IF(F1038=$C$1014,$D$1014,IF(F1038=$C$1015,$D$1015,IF(F1038=$C$1016,$D$1016,IF(F1038=0,0)))))))</f>
        <v>0</v>
      </c>
      <c r="H1038" s="6">
        <f>IF(F221="",($I221-$C221)*0.01,($I221-$F221)*0.01)</f>
        <v>0</v>
      </c>
      <c r="I1038" s="6">
        <f>IF(K223=R$1011,S$1011,IF(K223=R$1012,S$1012,IF(K223=R$1013,S$1013,IF(K223=R$1014,S$1014,IF(K223=R$1015,S$1015,IF(K223=R$1016,S$1016,IF(K223="",0)))))))</f>
        <v>0</v>
      </c>
      <c r="J1038" s="6">
        <f t="shared" si="40"/>
        <v>0</v>
      </c>
      <c r="K1038" s="5">
        <f>(J1038+I$1038)/2-H1038</f>
        <v>0</v>
      </c>
      <c r="L1038" s="3">
        <f t="shared" si="41"/>
        <v>0</v>
      </c>
      <c r="M1038" s="1" t="str">
        <f t="shared" si="42"/>
        <v/>
      </c>
      <c r="N1038" s="1">
        <f>IF(C218=$H$1011,L1038,0)</f>
        <v>0</v>
      </c>
      <c r="O1038" s="10">
        <f t="shared" si="31"/>
        <v>0</v>
      </c>
      <c r="P1038" s="1">
        <f>IF(C218=$H$1012,L1038,0)</f>
        <v>0</v>
      </c>
      <c r="Q1038" s="10">
        <f t="shared" si="32"/>
        <v>0</v>
      </c>
      <c r="R1038" s="13">
        <f t="shared" si="43"/>
        <v>0</v>
      </c>
      <c r="S1038" s="1">
        <f t="shared" si="44"/>
        <v>0</v>
      </c>
      <c r="T1038" s="1">
        <f t="shared" si="45"/>
        <v>0</v>
      </c>
      <c r="U1038" s="1">
        <f t="shared" si="46"/>
        <v>0</v>
      </c>
      <c r="W1038" s="4">
        <f>IF($G227=U$1011,W$1011,IF($G227=U$1012,W$1012,IF($G227=U$1013,W$1013,IF($G227=U$1014,W$1014,IF($G227=U$1015,W$1015,IF($G227=U$1016,W$1016,IF($G227="",0)))))))</f>
        <v>0</v>
      </c>
      <c r="X1038" s="1">
        <f>IF($G233=X$1011,Y$1011,IF($G233=X$1012,Y$1012,IF($G233=X$1013,Y$1013,IF($G233=X$1014,Y$1014,IF($G233=X$1015,Y$1015,IF($G233=X$1016,Y$1016,IF($G233="",0)))))))</f>
        <v>0</v>
      </c>
      <c r="Y1038" s="1">
        <f>IF($M233=C$1011,D$1011,IF($M233=C$1012,D$1012,IF($M233=C$1013,D$1013,IF($M233=C$1014,D$1014,IF($M233=C$1015,D$1015,IF($M233=C$1016,D$1016,IF($M233="",0)))))))</f>
        <v>0</v>
      </c>
      <c r="Z1038" s="59">
        <f t="shared" si="47"/>
        <v>0</v>
      </c>
      <c r="AA1038" s="54">
        <f>IF(OR(G233="",M233=""),0,(X1038+Y1038)/2)</f>
        <v>0</v>
      </c>
      <c r="AD1038" s="4">
        <f t="shared" ref="AD1038:AD1054" si="72">IF(AC1038=$C$1011,$D$1011,IF(AC1038=$C$1012,$D$1012,IF(AC1038=$C$1013,$D$1013,IF(AC1038=$C$1014,$D$1014,IF(AC1038=$C$1015,$D$1015,IF(AC1038=$C$1016,$D1019,IF(AC1038=0,0)))))))</f>
        <v>0</v>
      </c>
      <c r="AE1038" s="6">
        <f>IF($F238="",$I238-$C238,$I238-$F238)</f>
        <v>0</v>
      </c>
      <c r="AF1038" s="6">
        <f t="shared" ref="AF1038:AF1054" si="73">AE1038*0.01</f>
        <v>0</v>
      </c>
      <c r="AG1038" s="6">
        <f>IF($L238=$C$1016,$D$1016,IF($L238=$C$1015,$D$1015,IF($L238=$C$1014,$D$1014,IF($L238=$C$1013,$D$1013,IF($L238=$C$1012,$D$1012,IF($L238=$C$1011,$D$1011,IF($L238="",0)))))))</f>
        <v>0</v>
      </c>
      <c r="AH1038" s="4">
        <f t="shared" ref="AH1038:AH1054" si="74">AG1038-AF1038</f>
        <v>0</v>
      </c>
      <c r="AJ1038" s="13">
        <f t="shared" ref="AJ1038:AJ1054" si="75">IF(OR(J1038=0,C1038=0),0,(K1038+W1038+AA1038+AH1038)/4)</f>
        <v>0</v>
      </c>
      <c r="AM1038" s="116">
        <f>K223</f>
        <v>0</v>
      </c>
      <c r="AN1038" s="6">
        <f>IF(AL221="",($I221-$C221),($I221-$F221))</f>
        <v>0</v>
      </c>
      <c r="AO1038" s="106" t="str">
        <f t="shared" si="48"/>
        <v/>
      </c>
      <c r="AP1038" s="1" t="str">
        <f t="shared" si="49"/>
        <v xml:space="preserve"> so no % reduction. </v>
      </c>
      <c r="AR1038" s="4">
        <f>$G227</f>
        <v>0</v>
      </c>
      <c r="AT1038" s="1">
        <f>$G233</f>
        <v>0</v>
      </c>
      <c r="AV1038" s="1">
        <f>IF($M233=AX1028,AV1028,IF($M233=AX1029,AV1029,IF($M233=AX1030,AV1030,IF($M233=AX1031,AV1031,IF($M233=AX1032,AV1032,IF($M233=AX1033,AV1033,IF($M233="",0)))))))</f>
        <v>0</v>
      </c>
      <c r="AW1038" s="6" t="s">
        <v>3</v>
      </c>
      <c r="AX1038" s="115">
        <f>$L231</f>
        <v>0</v>
      </c>
      <c r="BA1038" s="1" t="str">
        <f>F236</f>
        <v/>
      </c>
      <c r="BB1038" s="4" t="str">
        <f t="shared" si="50"/>
        <v>At the moment, my wellness goal is still evolving.</v>
      </c>
      <c r="BC1038" s="6" t="s">
        <v>3</v>
      </c>
      <c r="BI1038" s="1">
        <f t="shared" si="51"/>
        <v>4</v>
      </c>
      <c r="BJ1038" s="1">
        <f t="shared" si="52"/>
        <v>0</v>
      </c>
      <c r="BL1038" s="1">
        <f>IF(C221="",0,0.1)</f>
        <v>0</v>
      </c>
      <c r="BM1038" s="1">
        <f>IF(AND(F221="",I221=""),0,0.1)</f>
        <v>0</v>
      </c>
      <c r="BN1038" s="1">
        <f>IF(L221="",0,0.1)</f>
        <v>0</v>
      </c>
      <c r="BO1038" s="1">
        <f>IF(K223="",0,0.1)</f>
        <v>0</v>
      </c>
      <c r="BP1038" s="1">
        <f>IF(G227="",0,0.1)</f>
        <v>0</v>
      </c>
      <c r="BQ1038" s="1">
        <f>IF(G233="",0,0.1)</f>
        <v>0</v>
      </c>
      <c r="BR1038" s="1">
        <f>IF(M233="",0,0.1)</f>
        <v>0</v>
      </c>
      <c r="BS1038" s="1">
        <f>IF(C238="",0,0.1)</f>
        <v>0</v>
      </c>
      <c r="BT1038" s="1">
        <f>IF(AND(F238="",I238=""),0,0.1)</f>
        <v>0</v>
      </c>
      <c r="BU1038" s="1">
        <f>IF(L238="",0,0.1)</f>
        <v>0</v>
      </c>
      <c r="BV1038" s="151">
        <f t="shared" si="66"/>
        <v>0</v>
      </c>
      <c r="BW1038" s="161">
        <v>4</v>
      </c>
      <c r="BX1038" s="148">
        <f>C221</f>
        <v>0</v>
      </c>
      <c r="BY1038" s="149">
        <f>IF(I238="",F238,I238)</f>
        <v>0</v>
      </c>
      <c r="BZ1038" s="150">
        <f t="shared" si="53"/>
        <v>0</v>
      </c>
      <c r="CA1038" s="1">
        <f t="shared" si="34"/>
        <v>0</v>
      </c>
      <c r="CB1038" s="1">
        <f t="shared" si="67"/>
        <v>0</v>
      </c>
      <c r="CC1038" s="92">
        <f t="shared" si="54"/>
        <v>14</v>
      </c>
      <c r="CD1038" s="1">
        <f t="shared" si="55"/>
        <v>1</v>
      </c>
      <c r="CE1038" s="1">
        <f t="shared" si="56"/>
        <v>14</v>
      </c>
      <c r="CF1038" s="1">
        <f t="shared" si="57"/>
        <v>1900</v>
      </c>
      <c r="CG1038" s="4" t="str">
        <f t="shared" si="58"/>
        <v>1/14/1900</v>
      </c>
      <c r="CH1038" s="1">
        <f t="shared" si="35"/>
        <v>1</v>
      </c>
      <c r="CI1038" s="1" t="str">
        <f t="shared" si="36"/>
        <v xml:space="preserve">January </v>
      </c>
      <c r="CJ1038" s="1">
        <f t="shared" si="37"/>
        <v>0</v>
      </c>
      <c r="CL1038" s="1" t="s">
        <v>266</v>
      </c>
      <c r="CM1038" s="1">
        <f t="shared" si="38"/>
        <v>1900</v>
      </c>
      <c r="CN1038" s="4" t="str">
        <f t="shared" si="59"/>
        <v/>
      </c>
      <c r="CP1038" s="142" t="str">
        <f>IF(M632=CR$1034,CR1038,IF(M632=CS$1034,CS1038,IF(M632=CT$1034,CT1038,IF(M632=CU$1034,CU1038,IF(M632=CV$1034,CV1038,IF(M632=CW$1034,CW1038,IF(M632=CX$1034,CX1038,IF(M632=CY$1034,CY1038,IF(M632=CZ$1034,CZ1038,IF(M632=DA$1034,DA1038,IF(DB$1034,DB1038,IF(M632="",""))))))))))))</f>
        <v>Congratulations on completing all these steps to engage 0. If you find 0 responsive enough to 'follow' your upcoming wellness campaign, great! Invite 0 when ready.</v>
      </c>
      <c r="CQ1038" s="168">
        <v>4</v>
      </c>
      <c r="CR1038" s="1" t="str">
        <f t="shared" si="68"/>
        <v>You have yet to invite 0 to this warmup wellness exercise. After you send 0 an INVITATION card, meme, or video, be sure to mark the date and proceed with these steps.</v>
      </c>
      <c r="CS1038" s="1" t="str">
        <f t="shared" si="69"/>
        <v>You first invited 0 0, back on . Since 0 days have gone by, use the "follow-up" message template to remind them to share a need.</v>
      </c>
      <c r="CT1038" s="1" t="e" cm="1">
        <f t="array" aca="1" ref="CT1038" ca="1">IF(CC1038&gt;$BX$1034,CONCATENATE($DQ$1037,CG1038,$DS$1037,C1038,$DU$1037),CONCOTENATE($DX$1037,C1038,$DZ$1037,CG1038,$EB$1037))</f>
        <v>#NAME?</v>
      </c>
      <c r="CU1038" s="6" t="str">
        <f t="shared" si="70"/>
        <v>Estimate 0's level of urgency for their expressed need. In the next step, you can ask 0 how meaningful this need was for them. For now, trust your instinct of its urgency.</v>
      </c>
      <c r="CV1038" s="6" t="str">
        <f t="shared" si="71"/>
        <v>Establish your 'responsive rating' by having 0 rate how satisfied with your efforts to serve their need. Use the "rate me" tab to solicit their feedback and check their urgency level.</v>
      </c>
      <c r="CW1038" s="6" t="str">
        <f t="shared" si="60"/>
        <v>So far, you're doing great with 0! With 50% of these steps completed, it's now time to give 0 a need of yours they can now honor. You can use the "PNP" tab for this.</v>
      </c>
      <c r="CX1038" s="6" t="str">
        <f>CONCATENATE($DQ$1041,C1038,$DS$1041)</f>
        <v xml:space="preserve">Now that you know how receptive 0 is to your shared need, check how responsive they are to your need. Your energing 'responsive rating' depends on this reciprocity. </v>
      </c>
      <c r="CY1038" s="6" t="str">
        <f>CONCATENATE($DQ$1042,C1038,$DS$1042)</f>
        <v>If satisfied with 0's level of responsiveness so far, use the "invite" tab to welcome them to follow your upcoming wellness campaign. It also shares their responsive score.</v>
      </c>
      <c r="CZ1038" s="6" t="str">
        <f ca="1">IF($BX$1034&lt;BY1038,CONCATENATE($DQ$1043,DJ1038,$DS$1043,C1038,$DU$1043),CONCATENATE($DX$1043,C1038,$DZ$1043,DJ1038,$EB$1043,C1038,$ED$1043))</f>
        <v>Since you received no response from 0 since 1/14/1900, mark "no reply" as their response level. Emotionally prepare yourself to drop 0 from consideration.</v>
      </c>
      <c r="DA1038" s="6" t="str">
        <f>CONCATENATE($DQ$1044,C1038,$DS$1044,C1038,$DU$1044)</f>
        <v>Like before, 0 may need a gentle reminder to repond to your invitation. Simply send 0 another "invite" tab message with their evolving responsive score.</v>
      </c>
      <c r="DB1038" s="6" t="str">
        <f>CONCATENATE($DQ$1045,C1038,$DS$1045,C1038,$DU$1045,C1038,$DW$1045)</f>
        <v>Congratulations on completing all these steps to engage 0. If you find 0 responsive enough to 'follow' your upcoming wellness campaign, great! Invite 0 when ready.</v>
      </c>
      <c r="DC1038" s="6" t="s">
        <v>3</v>
      </c>
      <c r="DD1038" s="154" t="s">
        <v>352</v>
      </c>
      <c r="DF1038" s="92">
        <f t="shared" si="61"/>
        <v>14</v>
      </c>
      <c r="DG1038" s="1">
        <f t="shared" si="62"/>
        <v>1</v>
      </c>
      <c r="DH1038" s="1">
        <f t="shared" si="63"/>
        <v>14</v>
      </c>
      <c r="DI1038" s="1">
        <f t="shared" si="64"/>
        <v>1900</v>
      </c>
      <c r="DJ1038" s="4" t="str">
        <f t="shared" si="65"/>
        <v>1/14/1900</v>
      </c>
      <c r="DQ1038" s="1" t="s">
        <v>378</v>
      </c>
      <c r="DS1038" s="6" t="s">
        <v>377</v>
      </c>
      <c r="DU1038" s="1" t="s">
        <v>376</v>
      </c>
    </row>
    <row r="1039" spans="2:132" ht="13.5" hidden="1" thickBot="1" x14ac:dyDescent="0.35">
      <c r="B1039" s="1">
        <f t="shared" si="39"/>
        <v>5</v>
      </c>
      <c r="C1039" s="1">
        <f t="shared" si="30"/>
        <v>0</v>
      </c>
      <c r="D1039" s="1">
        <f>C242</f>
        <v>0</v>
      </c>
      <c r="E1039" s="13">
        <f>L242</f>
        <v>0</v>
      </c>
      <c r="F1039" s="4">
        <f>L245</f>
        <v>0</v>
      </c>
      <c r="G1039" s="4">
        <f t="shared" ref="G1039:G1054" si="76">IF(F1039=$C$1011,$D$1011,IF(F1039=$C$1012,$D$1012,IF(F1039=$C$1013,$D$1013,IF(F1039=$C$1014,$D$1014,IF(F1039=$C$1015,$D$1015,IF(F1039=$C$1016,$D$1016,IF(F1039=0,0)))))))</f>
        <v>0</v>
      </c>
      <c r="H1039" s="6">
        <f>IF(F245="",($I245-$C245)*0.01,($I245-$F245)*0.01)</f>
        <v>-452.59000000000003</v>
      </c>
      <c r="I1039" s="6">
        <f>IF(K247=R$1011,S$1011,IF(K247=R$1012,S$1012,IF(K247=R$1013,S$1013,IF(K247=R$1014,S$1014,IF(K247=R$1015,S$1015,IF(K247=R$1016,S$1016,IF(K247="",0)))))))</f>
        <v>0</v>
      </c>
      <c r="J1039" s="6">
        <f t="shared" si="40"/>
        <v>0</v>
      </c>
      <c r="K1039" s="5">
        <f>(J1039+I$1039)/2-H1039</f>
        <v>452.59000000000003</v>
      </c>
      <c r="L1039" s="3">
        <f t="shared" si="41"/>
        <v>0</v>
      </c>
      <c r="M1039" s="1" t="str">
        <f t="shared" si="42"/>
        <v/>
      </c>
      <c r="N1039" s="1">
        <f>IF(C242=$H$1011,L1039,0)</f>
        <v>0</v>
      </c>
      <c r="O1039" s="10">
        <f t="shared" si="31"/>
        <v>0</v>
      </c>
      <c r="P1039" s="1">
        <f>IF(C242=$H$1012,L1039,0)</f>
        <v>0</v>
      </c>
      <c r="Q1039" s="10">
        <f t="shared" si="32"/>
        <v>0</v>
      </c>
      <c r="R1039" s="13">
        <f t="shared" si="43"/>
        <v>0</v>
      </c>
      <c r="S1039" s="1">
        <f t="shared" si="44"/>
        <v>0</v>
      </c>
      <c r="T1039" s="1">
        <f t="shared" si="45"/>
        <v>0</v>
      </c>
      <c r="U1039" s="1">
        <f t="shared" si="46"/>
        <v>0</v>
      </c>
      <c r="W1039" s="4">
        <f>IF($G251=U$1011,W$1011,IF($G251=U$1012,W$1012,IF($G251=U$1013,W$1013,IF($G251=U$1014,W$1014,IF($G251=U$1015,W$1015,IF($G251=U$1016,W$1016,IF($G251="",0)))))))</f>
        <v>0</v>
      </c>
      <c r="X1039" s="1">
        <f>IF($G257=X$1011,Y$1011,IF($G257=X$1012,Y$1012,IF($G257=X$1013,Y$1013,IF($G257=X$1014,Y$1014,IF($G257=X$1015,Y$1015,IF($G257=X$1016,Y$1016,IF($G257="",0)))))))</f>
        <v>0</v>
      </c>
      <c r="Y1039" s="1">
        <f>IF($M257=C$1011,D$1011,IF($M257=C$1012,D$1012,IF($M257=C$1013,D$1013,IF($M257=C$1014,D$1014,IF($M257=C$1015,D$1015,IF($M257=C$1016,D$1016,IF($M257="",0)))))))</f>
        <v>0</v>
      </c>
      <c r="Z1039" s="59">
        <f t="shared" si="47"/>
        <v>0</v>
      </c>
      <c r="AA1039" s="54">
        <f>IF(OR(G257="",M257=""),0,(X1039+Y1039)/2)</f>
        <v>0</v>
      </c>
      <c r="AD1039" s="4">
        <f t="shared" si="72"/>
        <v>0</v>
      </c>
      <c r="AE1039" s="6">
        <f>IF($F262="",$I262-$C262,$I262-$F262)</f>
        <v>0</v>
      </c>
      <c r="AF1039" s="6">
        <f t="shared" si="73"/>
        <v>0</v>
      </c>
      <c r="AG1039" s="6">
        <f>IF($L262=$C$1016,$D$1016,IF($L262=$C$1015,$D$1015,IF($L262=$C$1014,$D$1014,IF($L262=$C$1013,$D$1013,IF($L262=$C$1012,$D$1012,IF($L262=$C$1011,$D$1011,IF($L262="",0)))))))</f>
        <v>0</v>
      </c>
      <c r="AH1039" s="4">
        <f t="shared" si="74"/>
        <v>0</v>
      </c>
      <c r="AJ1039" s="13">
        <f t="shared" si="75"/>
        <v>0</v>
      </c>
      <c r="AM1039" s="116">
        <f>K247</f>
        <v>0</v>
      </c>
      <c r="AN1039" s="6">
        <f>IF(AL245="",($I245-$C245),($I245-$F245))</f>
        <v>-45259</v>
      </c>
      <c r="AO1039" s="106">
        <f t="shared" si="48"/>
        <v>-45259</v>
      </c>
      <c r="AP1039" s="1" t="str">
        <f t="shared" si="49"/>
        <v xml:space="preserve"> so no % reduction. </v>
      </c>
      <c r="AR1039" s="4">
        <f>$G251</f>
        <v>0</v>
      </c>
      <c r="AT1039" s="1">
        <f>$G257</f>
        <v>0</v>
      </c>
      <c r="AV1039" s="1">
        <f>IF($M257=AX1028,AV1028,IF($M257=AX1029,AV1029,IF($M257=AX1030,AV1030,IF($M257=AX1031,AV1031,IF($M257=AX1032,AV1032,IF($M257=AX1033,AV1033,IF($M257="",0)))))))</f>
        <v>0</v>
      </c>
      <c r="AW1039" s="6" t="s">
        <v>3</v>
      </c>
      <c r="AX1039" s="115">
        <f>$L255</f>
        <v>0</v>
      </c>
      <c r="BA1039" s="1" t="str">
        <f>F260</f>
        <v/>
      </c>
      <c r="BB1039" s="4" t="str">
        <f t="shared" si="50"/>
        <v>At the moment, my wellness goal is still evolving.</v>
      </c>
      <c r="BC1039" s="6" t="s">
        <v>3</v>
      </c>
      <c r="BI1039" s="1">
        <f t="shared" si="51"/>
        <v>5</v>
      </c>
      <c r="BJ1039" s="1">
        <f t="shared" si="52"/>
        <v>0</v>
      </c>
      <c r="BL1039" s="1">
        <f>IF(C245="",0,0.1)</f>
        <v>0.1</v>
      </c>
      <c r="BM1039" s="1">
        <f>IF(AND(F245="",I245=""),0,0.1)</f>
        <v>0</v>
      </c>
      <c r="BN1039" s="1">
        <f>IF(L245="",0,0.1)</f>
        <v>0</v>
      </c>
      <c r="BO1039" s="1">
        <f>IF(K247="",0,0.1)</f>
        <v>0</v>
      </c>
      <c r="BP1039" s="1">
        <f>IF(G251="",0,0.1)</f>
        <v>0</v>
      </c>
      <c r="BQ1039" s="1">
        <f>IF(G257="",0,0.1)</f>
        <v>0</v>
      </c>
      <c r="BR1039" s="1">
        <f>IF(M257="",0,0.1)</f>
        <v>0</v>
      </c>
      <c r="BS1039" s="1">
        <f>IF(C262="",0,0.1)</f>
        <v>0</v>
      </c>
      <c r="BT1039" s="1">
        <f>IF(AND(F262="",I262=""),0,0.1)</f>
        <v>0</v>
      </c>
      <c r="BU1039" s="1">
        <f>IF(L262="",0,0.1)</f>
        <v>0</v>
      </c>
      <c r="BV1039" s="151">
        <f t="shared" si="66"/>
        <v>0.1</v>
      </c>
      <c r="BW1039" s="161">
        <v>5</v>
      </c>
      <c r="BX1039" s="148">
        <f>C245</f>
        <v>45259</v>
      </c>
      <c r="BY1039" s="149">
        <f>IF(I262="",F262,I262)</f>
        <v>0</v>
      </c>
      <c r="BZ1039" s="150" t="str">
        <f t="shared" si="53"/>
        <v/>
      </c>
      <c r="CA1039" s="1">
        <f t="shared" ca="1" si="34"/>
        <v>15</v>
      </c>
      <c r="CB1039" s="1" t="str">
        <f t="shared" ca="1" si="67"/>
        <v>15 days ago</v>
      </c>
      <c r="CC1039" s="92">
        <f t="shared" si="54"/>
        <v>45273</v>
      </c>
      <c r="CD1039" s="1">
        <f t="shared" si="55"/>
        <v>12</v>
      </c>
      <c r="CE1039" s="1">
        <f t="shared" si="56"/>
        <v>13</v>
      </c>
      <c r="CF1039" s="1">
        <f t="shared" si="57"/>
        <v>2023</v>
      </c>
      <c r="CG1039" s="4" t="str">
        <f t="shared" si="58"/>
        <v>12/13/2023</v>
      </c>
      <c r="CH1039" s="1">
        <f t="shared" si="35"/>
        <v>11</v>
      </c>
      <c r="CI1039" s="1" t="str">
        <f t="shared" si="36"/>
        <v xml:space="preserve">November </v>
      </c>
      <c r="CJ1039" s="1">
        <f t="shared" si="37"/>
        <v>29</v>
      </c>
      <c r="CL1039" s="1" t="s">
        <v>266</v>
      </c>
      <c r="CM1039" s="1">
        <f t="shared" si="38"/>
        <v>2023</v>
      </c>
      <c r="CN1039" s="4" t="str">
        <f t="shared" si="59"/>
        <v>November 29, 2023</v>
      </c>
      <c r="CP1039" s="142" t="str">
        <f>IF(M634=CR$1034,CR1039,IF(M634=CS$1034,CS1039,IF(M634=CT$1034,CT1039,IF(M634=CU$1034,CU1039,IF(M634=CV$1034,CV1039,IF(M634=CW$1034,CW1039,IF(M634=CX$1034,CX1039,IF(M634=CY$1034,CY1039,IF(M634=CZ$1034,CZ1039,IF(M634=DA$1034,DA1039,IF(DB$1034,DB1039,IF(M634="",""))))))))))))</f>
        <v>Congratulations on completing all these steps to engage 0. If you find 0 responsive enough to 'follow' your upcoming wellness campaign, great! Invite 0 when ready.</v>
      </c>
      <c r="CQ1039" s="168">
        <v>5</v>
      </c>
      <c r="CR1039" s="1" t="str">
        <f t="shared" si="68"/>
        <v>You have yet to invite 0 to this warmup wellness exercise. After you send 0 an INVITATION card, meme, or video, be sure to mark the date and proceed with these steps.</v>
      </c>
      <c r="CS1039" s="1" t="str">
        <f t="shared" ca="1" si="69"/>
        <v>You first invited 0 15 days ago, back on November 29, 2023. Since 15 days have gone by, use the "follow-up" message template to remind them to share a need.</v>
      </c>
      <c r="CT1039" s="1" t="e" cm="1">
        <f t="array" aca="1" ref="CT1039" ca="1">IF(CC1039&gt;$BX$1034,CONCATENATE($DQ$1037,CG1039,$DS$1037,C1039,$DU$1037),CONCOTENATE($DX$1037,C1039,$DZ$1037,CG1039,$EB$1037))</f>
        <v>#NAME?</v>
      </c>
      <c r="CU1039" s="6" t="str">
        <f t="shared" si="70"/>
        <v>Estimate 0's level of urgency for their expressed need. In the next step, you can ask 0 how meaningful this need was for them. For now, trust your instinct of its urgency.</v>
      </c>
      <c r="CV1039" s="6" t="str">
        <f t="shared" si="71"/>
        <v>Establish your 'responsive rating' by having 0 rate how satisfied with your efforts to serve their need. Use the "rate me" tab to solicit their feedback and check their urgency level.</v>
      </c>
      <c r="CW1039" s="6" t="str">
        <f t="shared" si="60"/>
        <v>So far, you're doing great with 0! With 50% of these steps completed, it's now time to give 0 a need of yours they can now honor. You can use the "PNP" tab for this.</v>
      </c>
      <c r="CX1039" s="6" t="str">
        <f>CONCATENATE($DQ$1041,C1039,$DS$1041)</f>
        <v xml:space="preserve">Now that you know how receptive 0 is to your shared need, check how responsive they are to your need. Your energing 'responsive rating' depends on this reciprocity. </v>
      </c>
      <c r="CY1039" s="6" t="str">
        <f>CONCATENATE($DQ$1042,C1039,$DS$1042)</f>
        <v>If satisfied with 0's level of responsiveness so far, use the "invite" tab to welcome them to follow your upcoming wellness campaign. It also shares their responsive score.</v>
      </c>
      <c r="CZ1039" s="6" t="str">
        <f ca="1">IF($BX$1034&lt;BY1039,CONCATENATE($DQ$1043,DJ1039,$DS$1043,C1039,$DU$1043),CONCATENATE($DX$1043,C1039,$DZ$1043,DJ1039,$EB$1043,C1039,$ED$1043))</f>
        <v>Since you received no response from 0 since 1/14/1900, mark "no reply" as their response level. Emotionally prepare yourself to drop 0 from consideration.</v>
      </c>
      <c r="DA1039" s="6" t="str">
        <f>CONCATENATE($DQ$1044,C1039,$DS$1044,C1039,$DU$1044)</f>
        <v>Like before, 0 may need a gentle reminder to repond to your invitation. Simply send 0 another "invite" tab message with their evolving responsive score.</v>
      </c>
      <c r="DB1039" s="6" t="str">
        <f>CONCATENATE($DQ$1045,C1039,$DS$1045,C1039,$DU$1045,C1039,$DW$1045)</f>
        <v>Congratulations on completing all these steps to engage 0. If you find 0 responsive enough to 'follow' your upcoming wellness campaign, great! Invite 0 when ready.</v>
      </c>
      <c r="DC1039" s="6" t="s">
        <v>3</v>
      </c>
      <c r="DD1039" s="154" t="s">
        <v>353</v>
      </c>
      <c r="DF1039" s="92">
        <f t="shared" si="61"/>
        <v>14</v>
      </c>
      <c r="DG1039" s="1">
        <f t="shared" si="62"/>
        <v>1</v>
      </c>
      <c r="DH1039" s="1">
        <f t="shared" si="63"/>
        <v>14</v>
      </c>
      <c r="DI1039" s="1">
        <f t="shared" si="64"/>
        <v>1900</v>
      </c>
      <c r="DJ1039" s="4" t="str">
        <f t="shared" si="65"/>
        <v>1/14/1900</v>
      </c>
      <c r="DQ1039" s="1" t="s">
        <v>379</v>
      </c>
      <c r="DR1039" s="6" t="s">
        <v>3</v>
      </c>
      <c r="DS1039" s="1" t="s">
        <v>380</v>
      </c>
    </row>
    <row r="1040" spans="2:132" ht="13.5" hidden="1" thickBot="1" x14ac:dyDescent="0.35">
      <c r="B1040" s="1">
        <f t="shared" si="39"/>
        <v>6</v>
      </c>
      <c r="C1040" s="1">
        <f t="shared" si="30"/>
        <v>0</v>
      </c>
      <c r="D1040" s="1">
        <f>C266</f>
        <v>0</v>
      </c>
      <c r="E1040" s="13">
        <f>L266</f>
        <v>0</v>
      </c>
      <c r="F1040" s="4">
        <f>L269</f>
        <v>0</v>
      </c>
      <c r="G1040" s="4">
        <f t="shared" si="76"/>
        <v>0</v>
      </c>
      <c r="H1040" s="6">
        <f>IF(F269="",($I269-$C269)*0.01,($I269-$F269)*0.01)</f>
        <v>0</v>
      </c>
      <c r="I1040" s="6">
        <f>IF(K271=R$1011,S$1011,IF(K271=R$1012,S$1012,IF(K271=R$1013,S$1013,IF(K271=R$1014,S$1014,IF(K271=R$1015,S$1015,IF(K271=R$1016,S$1016,IF(K271="",0)))))))</f>
        <v>0</v>
      </c>
      <c r="J1040" s="6">
        <f t="shared" si="40"/>
        <v>0</v>
      </c>
      <c r="K1040" s="5">
        <f>(J1040+I$1040)/2-H1040</f>
        <v>0</v>
      </c>
      <c r="L1040" s="3">
        <f t="shared" si="41"/>
        <v>0</v>
      </c>
      <c r="M1040" s="1" t="str">
        <f t="shared" si="42"/>
        <v/>
      </c>
      <c r="N1040" s="1">
        <f>IF(C266=$H$1011,L1040,0)</f>
        <v>0</v>
      </c>
      <c r="O1040" s="10">
        <f t="shared" si="31"/>
        <v>0</v>
      </c>
      <c r="P1040" s="1">
        <f>IF(C266=$H$1012,L1040,0)</f>
        <v>0</v>
      </c>
      <c r="Q1040" s="10">
        <f t="shared" si="32"/>
        <v>0</v>
      </c>
      <c r="R1040" s="13">
        <f t="shared" si="43"/>
        <v>0</v>
      </c>
      <c r="S1040" s="1">
        <f t="shared" si="44"/>
        <v>0</v>
      </c>
      <c r="T1040" s="1">
        <f t="shared" si="45"/>
        <v>0</v>
      </c>
      <c r="U1040" s="1">
        <f t="shared" si="46"/>
        <v>0</v>
      </c>
      <c r="W1040" s="4">
        <f>IF($G275=U$1011,W$1011,IF($G275=U$1012,W$1012,IF($G275=U$1013,W$1013,IF($G275=U$1014,W$1014,IF($G275=U$1015,W$1015,IF($G275=U$1016,W$1016,IF($G275="",0)))))))</f>
        <v>0</v>
      </c>
      <c r="X1040" s="1">
        <f>IF($G281=X$1011,Y$1011,IF($G281=X$1012,Y$1012,IF($G281=X$1013,Y$1013,IF($G281=X$1014,Y$1014,IF($G281=X$1015,Y$1015,IF($G281=X$1016,Y$1016,IF($G281="",0)))))))</f>
        <v>0</v>
      </c>
      <c r="Y1040" s="1">
        <f>IF($M281=C$1011,D$1011,IF($M281=C$1012,D$1012,IF($M281=C$1013,D$1013,IF($M281=C$1014,D$1014,IF($M281=C$1015,D$1015,IF($M281=C$1016,D$1016,IF($M281="",0)))))))</f>
        <v>0</v>
      </c>
      <c r="Z1040" s="59">
        <f t="shared" si="47"/>
        <v>0</v>
      </c>
      <c r="AA1040" s="54">
        <f>IF(OR(G281="",M281=""),0,(X1040+Y1040)/2)</f>
        <v>0</v>
      </c>
      <c r="AD1040" s="4">
        <f t="shared" si="72"/>
        <v>0</v>
      </c>
      <c r="AE1040" s="6">
        <f>IF($F286="",$I286-$C286,$I286-$F286)</f>
        <v>0</v>
      </c>
      <c r="AF1040" s="6">
        <f t="shared" si="73"/>
        <v>0</v>
      </c>
      <c r="AG1040" s="6">
        <f>IF($L286=$C$1016,$D$1016,IF($L286=$C$1015,$D$1015,IF($L286=$C$1014,$D$1014,IF($L286=$C$1013,$D$1013,IF($L286=$C$1012,$D$1012,IF($L286=$C$1011,$D$1011,IF($L286="",0)))))))</f>
        <v>0</v>
      </c>
      <c r="AH1040" s="4">
        <f t="shared" si="74"/>
        <v>0</v>
      </c>
      <c r="AJ1040" s="13">
        <f t="shared" si="75"/>
        <v>0</v>
      </c>
      <c r="AM1040" s="116">
        <f>K271</f>
        <v>0</v>
      </c>
      <c r="AN1040" s="6">
        <f>IF(AL269="",($I269-$C269),($I269-$F269))</f>
        <v>0</v>
      </c>
      <c r="AO1040" s="106" t="str">
        <f t="shared" si="48"/>
        <v/>
      </c>
      <c r="AP1040" s="1" t="str">
        <f t="shared" si="49"/>
        <v xml:space="preserve"> so no % reduction. </v>
      </c>
      <c r="AR1040" s="4">
        <f>$G275</f>
        <v>0</v>
      </c>
      <c r="AT1040" s="1">
        <f>$G281</f>
        <v>0</v>
      </c>
      <c r="AV1040" s="1">
        <f>IF($M281=AX1028,AV1028,IF($M281=AX1029,AV1029,IF($M281=AX1030,AV1030,IF($M281=AX1031,AV1031,IF($M281=AX1032,AV1032,IF($M281=AX1033,AV1033,IF($M281="",0)))))))</f>
        <v>0</v>
      </c>
      <c r="AW1040" s="6" t="s">
        <v>3</v>
      </c>
      <c r="AX1040" s="115">
        <f>$L279</f>
        <v>0</v>
      </c>
      <c r="BA1040" s="1" t="str">
        <f>F284</f>
        <v/>
      </c>
      <c r="BB1040" s="4" t="str">
        <f t="shared" si="50"/>
        <v>At the moment, my wellness goal is still evolving.</v>
      </c>
      <c r="BC1040" s="6" t="s">
        <v>3</v>
      </c>
      <c r="BI1040" s="1">
        <f t="shared" si="51"/>
        <v>6</v>
      </c>
      <c r="BJ1040" s="1">
        <f t="shared" si="52"/>
        <v>0</v>
      </c>
      <c r="BL1040" s="1">
        <f>IF(C269="",0,0.1)</f>
        <v>0</v>
      </c>
      <c r="BM1040" s="1">
        <f>IF(AND(F269="",I269=""),0,0.1)</f>
        <v>0</v>
      </c>
      <c r="BN1040" s="1">
        <f>IF(L269="",0,0.1)</f>
        <v>0</v>
      </c>
      <c r="BO1040" s="1">
        <f>IF(K271="",0,0.1)</f>
        <v>0</v>
      </c>
      <c r="BP1040" s="1">
        <f>IF(G275="",0,0.1)</f>
        <v>0</v>
      </c>
      <c r="BQ1040" s="1">
        <f>IF(G281="",0,0.1)</f>
        <v>0</v>
      </c>
      <c r="BR1040" s="1">
        <f>IF(M281="",0,0.1)</f>
        <v>0</v>
      </c>
      <c r="BS1040" s="1">
        <f>IF(C286="",0,0.1)</f>
        <v>0</v>
      </c>
      <c r="BT1040" s="1">
        <f>IF(AND(F286="",I286=""),0,0.1)</f>
        <v>0</v>
      </c>
      <c r="BU1040" s="1">
        <f>IF(L286="",0,0.1)</f>
        <v>0</v>
      </c>
      <c r="BV1040" s="151">
        <f t="shared" si="66"/>
        <v>0</v>
      </c>
      <c r="BW1040" s="161">
        <v>6</v>
      </c>
      <c r="BX1040" s="148">
        <f>C269</f>
        <v>0</v>
      </c>
      <c r="BY1040" s="149">
        <f>IF(I286="",F286,I286)</f>
        <v>0</v>
      </c>
      <c r="BZ1040" s="150">
        <f t="shared" si="53"/>
        <v>0</v>
      </c>
      <c r="CA1040" s="1">
        <f t="shared" si="34"/>
        <v>0</v>
      </c>
      <c r="CB1040" s="1">
        <f t="shared" si="67"/>
        <v>0</v>
      </c>
      <c r="CC1040" s="92">
        <f t="shared" si="54"/>
        <v>14</v>
      </c>
      <c r="CD1040" s="1">
        <f t="shared" si="55"/>
        <v>1</v>
      </c>
      <c r="CE1040" s="1">
        <f t="shared" si="56"/>
        <v>14</v>
      </c>
      <c r="CF1040" s="1">
        <f t="shared" si="57"/>
        <v>1900</v>
      </c>
      <c r="CG1040" s="4" t="str">
        <f t="shared" si="58"/>
        <v>1/14/1900</v>
      </c>
      <c r="CH1040" s="1">
        <f t="shared" si="35"/>
        <v>1</v>
      </c>
      <c r="CI1040" s="1" t="str">
        <f t="shared" si="36"/>
        <v xml:space="preserve">January </v>
      </c>
      <c r="CJ1040" s="1">
        <f t="shared" si="37"/>
        <v>0</v>
      </c>
      <c r="CL1040" s="1" t="s">
        <v>266</v>
      </c>
      <c r="CM1040" s="1">
        <f t="shared" si="38"/>
        <v>1900</v>
      </c>
      <c r="CN1040" s="4" t="str">
        <f t="shared" si="59"/>
        <v/>
      </c>
      <c r="CP1040" s="142" t="str">
        <f>IF(M636=CR$1034,CR1040,IF(M636=CS$1034,CS1040,IF(M636=CT$1034,CT1040,IF(M636=CU$1034,CU1040,IF(M636=CV$1034,CV1040,IF(M636=CW$1034,CW1040,IF(M636=CX$1034,CX1040,IF(M636=CY$1034,CY1040,IF(M636=CZ$1034,CZ1040,IF(M636=DA$1034,DA1040,IF(DB$1034,DB1040,IF(M636="",""))))))))))))</f>
        <v>Congratulations on completing all these steps to engage 0. If you find 0 responsive enough to 'follow' your upcoming wellness campaign, great! Invite 0 when ready.</v>
      </c>
      <c r="CQ1040" s="168">
        <v>6</v>
      </c>
      <c r="CR1040" s="1" t="str">
        <f t="shared" si="68"/>
        <v>You have yet to invite 0 to this warmup wellness exercise. After you send 0 an INVITATION card, meme, or video, be sure to mark the date and proceed with these steps.</v>
      </c>
      <c r="CS1040" s="1" t="str">
        <f t="shared" si="69"/>
        <v>You first invited 0 0, back on . Since 0 days have gone by, use the "follow-up" message template to remind them to share a need.</v>
      </c>
      <c r="CT1040" s="1" t="e" cm="1">
        <f t="array" aca="1" ref="CT1040" ca="1">IF(CC1040&gt;$BX$1034,CONCATENATE($DQ$1037,CG1040,$DS$1037,C1040,$DU$1037),CONCOTENATE($DX$1037,C1040,$DZ$1037,CG1040,$EB$1037))</f>
        <v>#NAME?</v>
      </c>
      <c r="CU1040" s="6" t="str">
        <f t="shared" si="70"/>
        <v>Estimate 0's level of urgency for their expressed need. In the next step, you can ask 0 how meaningful this need was for them. For now, trust your instinct of its urgency.</v>
      </c>
      <c r="CV1040" s="6" t="str">
        <f t="shared" si="71"/>
        <v>Establish your 'responsive rating' by having 0 rate how satisfied with your efforts to serve their need. Use the "rate me" tab to solicit their feedback and check their urgency level.</v>
      </c>
      <c r="CW1040" s="6" t="str">
        <f t="shared" si="60"/>
        <v>So far, you're doing great with 0! With 50% of these steps completed, it's now time to give 0 a need of yours they can now honor. You can use the "PNP" tab for this.</v>
      </c>
      <c r="CX1040" s="6" t="str">
        <f>CONCATENATE($DQ$1041,C1040,$DS$1041)</f>
        <v xml:space="preserve">Now that you know how receptive 0 is to your shared need, check how responsive they are to your need. Your energing 'responsive rating' depends on this reciprocity. </v>
      </c>
      <c r="CY1040" s="6" t="str">
        <f>CONCATENATE($DQ$1042,C1040,$DS$1042)</f>
        <v>If satisfied with 0's level of responsiveness so far, use the "invite" tab to welcome them to follow your upcoming wellness campaign. It also shares their responsive score.</v>
      </c>
      <c r="CZ1040" s="6" t="str">
        <f ca="1">IF($BX$1034&lt;BY1040,CONCATENATE($DQ$1043,DJ1040,$DS$1043,C1040,$DU$1043),CONCATENATE($DX$1043,C1040,$DZ$1043,DJ1040,$EB$1043,C1040,$ED$1043))</f>
        <v>Since you received no response from 0 since 1/14/1900, mark "no reply" as their response level. Emotionally prepare yourself to drop 0 from consideration.</v>
      </c>
      <c r="DA1040" s="6" t="str">
        <f>CONCATENATE($DQ$1044,C1040,$DS$1044,C1040,$DU$1044)</f>
        <v>Like before, 0 may need a gentle reminder to repond to your invitation. Simply send 0 another "invite" tab message with their evolving responsive score.</v>
      </c>
      <c r="DB1040" s="6" t="str">
        <f>CONCATENATE($DQ$1045,C1040,$DS$1045,C1040,$DU$1045,C1040,$DW$1045)</f>
        <v>Congratulations on completing all these steps to engage 0. If you find 0 responsive enough to 'follow' your upcoming wellness campaign, great! Invite 0 when ready.</v>
      </c>
      <c r="DC1040" s="6" t="s">
        <v>3</v>
      </c>
      <c r="DD1040" s="154" t="s">
        <v>354</v>
      </c>
      <c r="DF1040" s="92">
        <f t="shared" si="61"/>
        <v>14</v>
      </c>
      <c r="DG1040" s="1">
        <f t="shared" si="62"/>
        <v>1</v>
      </c>
      <c r="DH1040" s="1">
        <f t="shared" si="63"/>
        <v>14</v>
      </c>
      <c r="DI1040" s="1">
        <f t="shared" si="64"/>
        <v>1900</v>
      </c>
      <c r="DJ1040" s="4" t="str">
        <f t="shared" si="65"/>
        <v>1/14/1900</v>
      </c>
      <c r="DQ1040" s="1" t="s">
        <v>381</v>
      </c>
      <c r="DR1040" s="6" t="s">
        <v>3</v>
      </c>
      <c r="DS1040" s="1" t="s">
        <v>439</v>
      </c>
      <c r="DT1040" s="5" t="s">
        <v>3</v>
      </c>
      <c r="DU1040" s="1" t="s">
        <v>438</v>
      </c>
    </row>
    <row r="1041" spans="2:134" ht="13.5" hidden="1" thickBot="1" x14ac:dyDescent="0.35">
      <c r="B1041" s="1">
        <f t="shared" si="39"/>
        <v>7</v>
      </c>
      <c r="C1041" s="1">
        <f t="shared" si="30"/>
        <v>0</v>
      </c>
      <c r="D1041" s="1">
        <f>C290</f>
        <v>0</v>
      </c>
      <c r="E1041" s="13">
        <f>L290</f>
        <v>0</v>
      </c>
      <c r="F1041" s="4">
        <f>L293</f>
        <v>0</v>
      </c>
      <c r="G1041" s="4">
        <f t="shared" si="76"/>
        <v>0</v>
      </c>
      <c r="H1041" s="6">
        <f>IF(F293="",($I293-$C293)*0.01,($I293-$F293)*0.01)</f>
        <v>0</v>
      </c>
      <c r="I1041" s="6">
        <f>IF(K295=R$1011,S$1011,IF(K295=R$1012,S$1012,IF(K295=R$1013,S$1013,IF(K295=R$1014,S$1014,IF(K295=R$1015,S$1015,IF(K295=R$1016,S$1016,IF(K295="",0)))))))</f>
        <v>0</v>
      </c>
      <c r="J1041" s="6">
        <f t="shared" si="40"/>
        <v>0</v>
      </c>
      <c r="K1041" s="5">
        <f>(J1041+I$1041)/2-H1041</f>
        <v>0</v>
      </c>
      <c r="L1041" s="3">
        <f t="shared" si="41"/>
        <v>0</v>
      </c>
      <c r="M1041" s="1" t="str">
        <f t="shared" si="42"/>
        <v/>
      </c>
      <c r="N1041" s="1">
        <f>IF(C290=$H$1011,L1041,0)</f>
        <v>0</v>
      </c>
      <c r="O1041" s="10">
        <f t="shared" si="31"/>
        <v>0</v>
      </c>
      <c r="P1041" s="1">
        <f>IF(C290=$H$1012,L1041,0)</f>
        <v>0</v>
      </c>
      <c r="Q1041" s="10">
        <f t="shared" si="32"/>
        <v>0</v>
      </c>
      <c r="R1041" s="13">
        <f t="shared" si="43"/>
        <v>0</v>
      </c>
      <c r="S1041" s="1">
        <f t="shared" si="44"/>
        <v>0</v>
      </c>
      <c r="T1041" s="1">
        <f t="shared" si="45"/>
        <v>0</v>
      </c>
      <c r="U1041" s="1">
        <f t="shared" si="46"/>
        <v>0</v>
      </c>
      <c r="W1041" s="4">
        <f>IF($G299=U$1011,W$1011,IF($G299=U$1012,W$1012,IF($G299=U$1013,W$1013,IF($G299=U$1014,W$1014,IF($G299=U$1015,W$1015,IF($G299=U$1016,W$1016,IF($G299="",0)))))))</f>
        <v>0</v>
      </c>
      <c r="X1041" s="1">
        <f>IF($G305=X$1011,Y$1011,IF($G305=X$1012,Y$1012,IF($G305=X$1013,Y$1013,IF($G305=X$1014,Y$1014,IF($G305=X$1015,Y$1015,IF($G305=X$1016,Y$1016,IF($G305="",0)))))))</f>
        <v>0</v>
      </c>
      <c r="Y1041" s="1">
        <f>IF($M305=C$1011,D$1011,IF($M305=C$1012,D$1012,IF($M305=C$1013,D$1013,IF($M305=C$1014,D$1014,IF($M305=C$1015,D$1015,IF($M305=C$1016,D$1016,IF($M305="",0)))))))</f>
        <v>0</v>
      </c>
      <c r="Z1041" s="59">
        <f t="shared" si="47"/>
        <v>0</v>
      </c>
      <c r="AA1041" s="54">
        <f>IF(OR(G305="",M305=""),0,(X1041+Y1041)/2)</f>
        <v>0</v>
      </c>
      <c r="AD1041" s="4">
        <f t="shared" si="72"/>
        <v>0</v>
      </c>
      <c r="AE1041" s="6">
        <f>IF($F310="",$I310-$C310,$I310-$F310)</f>
        <v>0</v>
      </c>
      <c r="AF1041" s="6">
        <f t="shared" si="73"/>
        <v>0</v>
      </c>
      <c r="AG1041" s="6">
        <f>IF($L310=$C$1016,$D$1016,IF($L310=$C$1015,$D$1015,IF($L310=$C$1014,$D$1014,IF($L310=$C$1013,$D$1013,IF($L310=$C$1012,$D$1012,IF($L310=$C$1011,$D$1011,IF($L310="",0)))))))</f>
        <v>0</v>
      </c>
      <c r="AH1041" s="4">
        <f t="shared" si="74"/>
        <v>0</v>
      </c>
      <c r="AJ1041" s="13">
        <f t="shared" si="75"/>
        <v>0</v>
      </c>
      <c r="AM1041" s="116">
        <f>K295</f>
        <v>0</v>
      </c>
      <c r="AN1041" s="6">
        <f>IF(AL293="",($I293-$C293),($I293-$F293))</f>
        <v>0</v>
      </c>
      <c r="AO1041" s="106" t="str">
        <f t="shared" si="48"/>
        <v/>
      </c>
      <c r="AP1041" s="1" t="str">
        <f t="shared" si="49"/>
        <v xml:space="preserve"> so no % reduction. </v>
      </c>
      <c r="AR1041" s="4">
        <f>$G299</f>
        <v>0</v>
      </c>
      <c r="AT1041" s="1">
        <f>$G305</f>
        <v>0</v>
      </c>
      <c r="AV1041" s="1">
        <f>IF($M305=AX1028,AV1028,IF($M305=AX1029,AV1029,IF($M305=AX1030,AV1030,IF($M305=AX1031,AV1031,IF($M305=AX1032,AV1032,IF($M305=AX1033,AV1033,IF($M305="",0)))))))</f>
        <v>0</v>
      </c>
      <c r="AW1041" s="6" t="s">
        <v>3</v>
      </c>
      <c r="AX1041" s="115">
        <f>$L303</f>
        <v>0</v>
      </c>
      <c r="BA1041" s="1" t="str">
        <f>F308</f>
        <v/>
      </c>
      <c r="BB1041" s="4" t="str">
        <f t="shared" si="50"/>
        <v>At the moment, my wellness goal is still evolving.</v>
      </c>
      <c r="BC1041" s="6" t="s">
        <v>3</v>
      </c>
      <c r="BI1041" s="1">
        <f t="shared" si="51"/>
        <v>7</v>
      </c>
      <c r="BJ1041" s="1">
        <f t="shared" si="52"/>
        <v>0</v>
      </c>
      <c r="BL1041" s="1">
        <f>IF(C293="",0,0.1)</f>
        <v>0</v>
      </c>
      <c r="BM1041" s="1">
        <f>IF(AND(F293="",I293=""),0,0.1)</f>
        <v>0</v>
      </c>
      <c r="BN1041" s="1">
        <f>IF(L293="",0,0.1)</f>
        <v>0</v>
      </c>
      <c r="BO1041" s="1">
        <f>IF(K295="",0,0.1)</f>
        <v>0</v>
      </c>
      <c r="BP1041" s="1">
        <f>IF(G299="",0,0.1)</f>
        <v>0</v>
      </c>
      <c r="BQ1041" s="1">
        <f>IF(G305="",0,0.1)</f>
        <v>0</v>
      </c>
      <c r="BR1041" s="1">
        <f>IF(M305="",0,0.1)</f>
        <v>0</v>
      </c>
      <c r="BS1041" s="1">
        <f>IF(C310="",0,0.1)</f>
        <v>0</v>
      </c>
      <c r="BT1041" s="1">
        <f>IF(AND(F310="",I310=""),0,0.1)</f>
        <v>0</v>
      </c>
      <c r="BU1041" s="1">
        <f>IF(L310="",0,0.1)</f>
        <v>0</v>
      </c>
      <c r="BV1041" s="151">
        <f t="shared" si="66"/>
        <v>0</v>
      </c>
      <c r="BW1041" s="161">
        <v>7</v>
      </c>
      <c r="BX1041" s="148">
        <f>C293</f>
        <v>0</v>
      </c>
      <c r="BY1041" s="149">
        <f>IF(I310="",F310,I310)</f>
        <v>0</v>
      </c>
      <c r="BZ1041" s="150">
        <f t="shared" si="53"/>
        <v>0</v>
      </c>
      <c r="CA1041" s="1">
        <f t="shared" si="34"/>
        <v>0</v>
      </c>
      <c r="CB1041" s="1">
        <f t="shared" si="67"/>
        <v>0</v>
      </c>
      <c r="CC1041" s="92">
        <f t="shared" si="54"/>
        <v>14</v>
      </c>
      <c r="CD1041" s="1">
        <f t="shared" si="55"/>
        <v>1</v>
      </c>
      <c r="CE1041" s="1">
        <f t="shared" si="56"/>
        <v>14</v>
      </c>
      <c r="CF1041" s="1">
        <f t="shared" si="57"/>
        <v>1900</v>
      </c>
      <c r="CG1041" s="4" t="str">
        <f t="shared" si="58"/>
        <v>1/14/1900</v>
      </c>
      <c r="CH1041" s="1">
        <f t="shared" si="35"/>
        <v>1</v>
      </c>
      <c r="CI1041" s="1" t="str">
        <f t="shared" si="36"/>
        <v xml:space="preserve">January </v>
      </c>
      <c r="CJ1041" s="1">
        <f t="shared" si="37"/>
        <v>0</v>
      </c>
      <c r="CL1041" s="1" t="s">
        <v>266</v>
      </c>
      <c r="CM1041" s="1">
        <f t="shared" si="38"/>
        <v>1900</v>
      </c>
      <c r="CN1041" s="4" t="str">
        <f t="shared" si="59"/>
        <v/>
      </c>
      <c r="CP1041" s="142" t="str">
        <f>IF(M638=CR$1034,CR1041,IF(M638=CS$1034,CS1041,IF(M638=CT$1034,CT1041,IF(M638=CU$1034,CU1041,IF(M638=CV$1034,CV1041,IF(M638=CW$1034,CW1041,IF(M638=CX$1034,CX1041,IF(M638=CY$1034,CY1041,IF(M638=CZ$1034,CZ1041,IF(M638=DA$1034,DA1041,IF(DB$1034,DB1041,IF(M638="",""))))))))))))</f>
        <v>Congratulations on completing all these steps to engage 0. If you find 0 responsive enough to 'follow' your upcoming wellness campaign, great! Invite 0 when ready.</v>
      </c>
      <c r="CQ1041" s="168">
        <v>7</v>
      </c>
      <c r="CR1041" s="1" t="str">
        <f t="shared" si="68"/>
        <v>You have yet to invite 0 to this warmup wellness exercise. After you send 0 an INVITATION card, meme, or video, be sure to mark the date and proceed with these steps.</v>
      </c>
      <c r="CS1041" s="1" t="str">
        <f t="shared" si="69"/>
        <v>You first invited 0 0, back on . Since 0 days have gone by, use the "follow-up" message template to remind them to share a need.</v>
      </c>
      <c r="CT1041" s="1" t="e" cm="1">
        <f t="array" aca="1" ref="CT1041" ca="1">IF(CC1041&gt;$BX$1034,CONCATENATE($DQ$1037,CG1041,$DS$1037,C1041,$DU$1037),CONCOTENATE($DX$1037,C1041,$DZ$1037,CG1041,$EB$1037))</f>
        <v>#NAME?</v>
      </c>
      <c r="CU1041" s="6" t="str">
        <f t="shared" si="70"/>
        <v>Estimate 0's level of urgency for their expressed need. In the next step, you can ask 0 how meaningful this need was for them. For now, trust your instinct of its urgency.</v>
      </c>
      <c r="CV1041" s="6" t="str">
        <f t="shared" si="71"/>
        <v>Establish your 'responsive rating' by having 0 rate how satisfied with your efforts to serve their need. Use the "rate me" tab to solicit their feedback and check their urgency level.</v>
      </c>
      <c r="CW1041" s="6" t="str">
        <f t="shared" si="60"/>
        <v>So far, you're doing great with 0! With 50% of these steps completed, it's now time to give 0 a need of yours they can now honor. You can use the "PNP" tab for this.</v>
      </c>
      <c r="CX1041" s="6" t="str">
        <f>CONCATENATE($DQ$1041,C1041,$DS$1041)</f>
        <v xml:space="preserve">Now that you know how receptive 0 is to your shared need, check how responsive they are to your need. Your energing 'responsive rating' depends on this reciprocity. </v>
      </c>
      <c r="CY1041" s="6" t="str">
        <f>CONCATENATE($DQ$1042,C1041,$DS$1042)</f>
        <v>If satisfied with 0's level of responsiveness so far, use the "invite" tab to welcome them to follow your upcoming wellness campaign. It also shares their responsive score.</v>
      </c>
      <c r="CZ1041" s="6" t="str">
        <f ca="1">IF($BX$1034&lt;BY1041,CONCATENATE($DQ$1043,DJ1041,$DS$1043,C1041,$DU$1043),CONCATENATE($DX$1043,C1041,$DZ$1043,DJ1041,$EB$1043,C1041,$ED$1043))</f>
        <v>Since you received no response from 0 since 1/14/1900, mark "no reply" as their response level. Emotionally prepare yourself to drop 0 from consideration.</v>
      </c>
      <c r="DA1041" s="6" t="str">
        <f>CONCATENATE($DQ$1044,C1041,$DS$1044,C1041,$DU$1044)</f>
        <v>Like before, 0 may need a gentle reminder to repond to your invitation. Simply send 0 another "invite" tab message with their evolving responsive score.</v>
      </c>
      <c r="DB1041" s="6" t="str">
        <f>CONCATENATE($DQ$1045,C1041,$DS$1045,C1041,$DU$1045,C1041,$DW$1045)</f>
        <v>Congratulations on completing all these steps to engage 0. If you find 0 responsive enough to 'follow' your upcoming wellness campaign, great! Invite 0 when ready.</v>
      </c>
      <c r="DC1041" s="6" t="s">
        <v>3</v>
      </c>
      <c r="DD1041" s="154" t="s">
        <v>355</v>
      </c>
      <c r="DF1041" s="92">
        <f t="shared" si="61"/>
        <v>14</v>
      </c>
      <c r="DG1041" s="1">
        <f t="shared" si="62"/>
        <v>1</v>
      </c>
      <c r="DH1041" s="1">
        <f t="shared" si="63"/>
        <v>14</v>
      </c>
      <c r="DI1041" s="1">
        <f t="shared" si="64"/>
        <v>1900</v>
      </c>
      <c r="DJ1041" s="4" t="str">
        <f t="shared" si="65"/>
        <v>1/14/1900</v>
      </c>
      <c r="DQ1041" s="1" t="s">
        <v>382</v>
      </c>
      <c r="DR1041" s="6" t="s">
        <v>3</v>
      </c>
      <c r="DS1041" s="1" t="s">
        <v>383</v>
      </c>
    </row>
    <row r="1042" spans="2:134" ht="13.5" hidden="1" thickBot="1" x14ac:dyDescent="0.35">
      <c r="B1042" s="1">
        <f t="shared" si="39"/>
        <v>8</v>
      </c>
      <c r="C1042" s="1">
        <f t="shared" si="30"/>
        <v>0</v>
      </c>
      <c r="D1042" s="1">
        <f>C314</f>
        <v>0</v>
      </c>
      <c r="E1042" s="13">
        <f>L314</f>
        <v>0</v>
      </c>
      <c r="F1042" s="4">
        <f>L317</f>
        <v>0</v>
      </c>
      <c r="G1042" s="4">
        <f t="shared" si="76"/>
        <v>0</v>
      </c>
      <c r="H1042" s="6">
        <f>IF(F317="",($I317-$C317)*0.01,($I317-$F317)*0.01)</f>
        <v>0</v>
      </c>
      <c r="I1042" s="6">
        <f>IF(K319=R$1011,S$1011,IF(K319=R$1012,S$1012,IF(K319=R$1013,S$1013,IF(K319=R$1014,S$1014,IF(K319=R$1015,S$1015,IF(K319=R$1016,S$1016,IF(K319="",0)))))))</f>
        <v>0</v>
      </c>
      <c r="J1042" s="6">
        <f t="shared" si="40"/>
        <v>0</v>
      </c>
      <c r="K1042" s="5">
        <f>(J1042+I$1042)/2-H1042</f>
        <v>0</v>
      </c>
      <c r="L1042" s="3">
        <f t="shared" si="41"/>
        <v>0</v>
      </c>
      <c r="M1042" s="1" t="str">
        <f t="shared" si="42"/>
        <v/>
      </c>
      <c r="N1042" s="1">
        <f>IF(C314=$H$1011,L1042,0)</f>
        <v>0</v>
      </c>
      <c r="O1042" s="10">
        <f t="shared" si="31"/>
        <v>0</v>
      </c>
      <c r="P1042" s="1">
        <f>IF(C314=$H$1012,L1042,0)</f>
        <v>0</v>
      </c>
      <c r="Q1042" s="10">
        <f t="shared" si="32"/>
        <v>0</v>
      </c>
      <c r="R1042" s="13">
        <f t="shared" si="43"/>
        <v>0</v>
      </c>
      <c r="S1042" s="1">
        <f t="shared" si="44"/>
        <v>0</v>
      </c>
      <c r="T1042" s="1">
        <f t="shared" si="45"/>
        <v>0</v>
      </c>
      <c r="U1042" s="1">
        <f t="shared" si="46"/>
        <v>0</v>
      </c>
      <c r="W1042" s="4">
        <f>IF($G323=U$1011,W$1011,IF($G323=U$1012,W$1012,IF($G323=U$1013,W$1013,IF($G323=U$1014,W$1014,IF($G323=U$1015,W$1015,IF($G323=U$1016,W$1016,IF($G323="",0)))))))</f>
        <v>0</v>
      </c>
      <c r="X1042" s="1">
        <f>IF($G329=X$1011,Y$1011,IF($G329=X$1012,Y$1012,IF($G329=X$1013,Y$1013,IF($G329=X$1014,Y$1014,IF($G329=X$1015,Y$1015,IF($G329=X$1016,Y$1016,IF($G329="",0)))))))</f>
        <v>0</v>
      </c>
      <c r="Y1042" s="1">
        <f>IF($M329=C$1011,D$1011,IF($M329=C$1012,D$1012,IF($M329=C$1013,D$1013,IF($M329=C$1014,D$1014,IF($M329=C$1015,D$1015,IF($M329=C$1016,D$1016,IF($M329="",0)))))))</f>
        <v>0</v>
      </c>
      <c r="Z1042" s="59">
        <f t="shared" si="47"/>
        <v>0</v>
      </c>
      <c r="AA1042" s="54">
        <f>IF(OR(G329="",M329=""),0,(X1042+Y1042)/2)</f>
        <v>0</v>
      </c>
      <c r="AD1042" s="4">
        <f t="shared" si="72"/>
        <v>0</v>
      </c>
      <c r="AE1042" s="6">
        <f>IF($F334="",$I334-$C334,$I334-$F334)</f>
        <v>0</v>
      </c>
      <c r="AF1042" s="6">
        <f t="shared" si="73"/>
        <v>0</v>
      </c>
      <c r="AG1042" s="6">
        <f>IF($L334=$C$1016,$D$1016,IF($L334=$C$1015,$D$1015,IF($L334=$C$1014,$D$1014,IF($L334=$C$1013,$D$1013,IF($L334=$C$1012,$D$1012,IF($L334=$C$1011,$D$1011,IF($L334="",0)))))))</f>
        <v>0</v>
      </c>
      <c r="AH1042" s="4">
        <f t="shared" si="74"/>
        <v>0</v>
      </c>
      <c r="AJ1042" s="13">
        <f t="shared" si="75"/>
        <v>0</v>
      </c>
      <c r="AM1042" s="116">
        <f>K319</f>
        <v>0</v>
      </c>
      <c r="AN1042" s="6">
        <f>IF(AL317="",($I317-$C317),($I317-$F317))</f>
        <v>0</v>
      </c>
      <c r="AO1042" s="106" t="str">
        <f t="shared" si="48"/>
        <v/>
      </c>
      <c r="AP1042" s="1" t="str">
        <f t="shared" si="49"/>
        <v xml:space="preserve"> so no % reduction. </v>
      </c>
      <c r="AR1042" s="4">
        <f>$G323</f>
        <v>0</v>
      </c>
      <c r="AT1042" s="1">
        <f>$G329</f>
        <v>0</v>
      </c>
      <c r="AV1042" s="1">
        <f>IF($M329=AX1028,AV1028,IF($M329=AX1029,AV1029,IF($M329=AX1030,AV1030,IF($M329=AX1031,AV1031,IF($M329=AX1032,AV1032,IF($M329=AX1033,AV1033,IF($M329="",0)))))))</f>
        <v>0</v>
      </c>
      <c r="AW1042" s="6" t="s">
        <v>3</v>
      </c>
      <c r="AX1042" s="115">
        <f>$L327</f>
        <v>0</v>
      </c>
      <c r="BA1042" s="1" t="str">
        <f>F332</f>
        <v/>
      </c>
      <c r="BB1042" s="4" t="str">
        <f t="shared" si="50"/>
        <v>At the moment, my wellness goal is still evolving.</v>
      </c>
      <c r="BC1042" s="6" t="s">
        <v>3</v>
      </c>
      <c r="BI1042" s="1">
        <f t="shared" si="51"/>
        <v>8</v>
      </c>
      <c r="BJ1042" s="1">
        <f t="shared" si="52"/>
        <v>0</v>
      </c>
      <c r="BL1042" s="1">
        <f>IF(C317="",0,0.1)</f>
        <v>0</v>
      </c>
      <c r="BM1042" s="1">
        <f>IF(AND(F317="",I317=""),0,0.1)</f>
        <v>0</v>
      </c>
      <c r="BN1042" s="1">
        <f>IF(L317="",0,0.1)</f>
        <v>0</v>
      </c>
      <c r="BO1042" s="1">
        <f>IF(K319="",0,0.1)</f>
        <v>0</v>
      </c>
      <c r="BP1042" s="1">
        <f>IF(G323="",0,0.1)</f>
        <v>0</v>
      </c>
      <c r="BQ1042" s="1">
        <f>IF(G329="",0,0.1)</f>
        <v>0</v>
      </c>
      <c r="BR1042" s="1">
        <f>IF(M329="",0,0.1)</f>
        <v>0</v>
      </c>
      <c r="BS1042" s="1">
        <f>IF(C334="",0,0.1)</f>
        <v>0</v>
      </c>
      <c r="BT1042" s="1">
        <f>IF(AND(F334="",I334=""),0,0.1)</f>
        <v>0</v>
      </c>
      <c r="BU1042" s="1">
        <f>IF(L334="",0,0.1)</f>
        <v>0</v>
      </c>
      <c r="BV1042" s="151">
        <f t="shared" si="66"/>
        <v>0</v>
      </c>
      <c r="BW1042" s="161">
        <v>8</v>
      </c>
      <c r="BX1042" s="148">
        <f>C317</f>
        <v>0</v>
      </c>
      <c r="BY1042" s="149">
        <f>IF(I334="",F334,I334)</f>
        <v>0</v>
      </c>
      <c r="BZ1042" s="150">
        <f t="shared" si="53"/>
        <v>0</v>
      </c>
      <c r="CA1042" s="1">
        <f t="shared" si="34"/>
        <v>0</v>
      </c>
      <c r="CB1042" s="1">
        <f t="shared" si="67"/>
        <v>0</v>
      </c>
      <c r="CC1042" s="92">
        <f t="shared" si="54"/>
        <v>14</v>
      </c>
      <c r="CD1042" s="1">
        <f t="shared" si="55"/>
        <v>1</v>
      </c>
      <c r="CE1042" s="1">
        <f t="shared" si="56"/>
        <v>14</v>
      </c>
      <c r="CF1042" s="1">
        <f t="shared" si="57"/>
        <v>1900</v>
      </c>
      <c r="CG1042" s="4" t="str">
        <f t="shared" si="58"/>
        <v>1/14/1900</v>
      </c>
      <c r="CH1042" s="1">
        <f t="shared" si="35"/>
        <v>1</v>
      </c>
      <c r="CI1042" s="1" t="str">
        <f t="shared" si="36"/>
        <v xml:space="preserve">January </v>
      </c>
      <c r="CJ1042" s="1">
        <f t="shared" si="37"/>
        <v>0</v>
      </c>
      <c r="CL1042" s="1" t="s">
        <v>266</v>
      </c>
      <c r="CM1042" s="1">
        <f t="shared" si="38"/>
        <v>1900</v>
      </c>
      <c r="CN1042" s="4" t="str">
        <f t="shared" si="59"/>
        <v/>
      </c>
      <c r="CP1042" s="142" t="str">
        <f>IF(M640=CR$1034,CR1042,IF(M640=CS$1034,CS1042,IF(M640=CT$1034,CT1042,IF(M640=CU$1034,CU1042,IF(M640=CV$1034,CV1042,IF(M640=CW$1034,CW1042,IF(M640=CX$1034,CX1042,IF(M640=CY$1034,CY1042,IF(M640=CZ$1034,CZ1042,IF(M640=DA$1034,DA1042,IF(DB$1034,DB1042,IF(M640="",""))))))))))))</f>
        <v>Congratulations on completing all these steps to engage 0. If you find 0 responsive enough to 'follow' your upcoming wellness campaign, great! Invite 0 when ready.</v>
      </c>
      <c r="CQ1042" s="168">
        <v>8</v>
      </c>
      <c r="CR1042" s="1" t="str">
        <f t="shared" si="68"/>
        <v>You have yet to invite 0 to this warmup wellness exercise. After you send 0 an INVITATION card, meme, or video, be sure to mark the date and proceed with these steps.</v>
      </c>
      <c r="CS1042" s="1" t="str">
        <f t="shared" si="69"/>
        <v>You first invited 0 0, back on . Since 0 days have gone by, use the "follow-up" message template to remind them to share a need.</v>
      </c>
      <c r="CT1042" s="1" t="e" cm="1">
        <f t="array" aca="1" ref="CT1042" ca="1">IF(CC1042&gt;$BX$1034,CONCATENATE($DQ$1037,CG1042,$DS$1037,C1042,$DU$1037),CONCOTENATE($DX$1037,C1042,$DZ$1037,CG1042,$EB$1037))</f>
        <v>#NAME?</v>
      </c>
      <c r="CU1042" s="6" t="str">
        <f t="shared" si="70"/>
        <v>Estimate 0's level of urgency for their expressed need. In the next step, you can ask 0 how meaningful this need was for them. For now, trust your instinct of its urgency.</v>
      </c>
      <c r="CV1042" s="6" t="str">
        <f t="shared" si="71"/>
        <v>Establish your 'responsive rating' by having 0 rate how satisfied with your efforts to serve their need. Use the "rate me" tab to solicit their feedback and check their urgency level.</v>
      </c>
      <c r="CW1042" s="6" t="str">
        <f t="shared" si="60"/>
        <v>So far, you're doing great with 0! With 50% of these steps completed, it's now time to give 0 a need of yours they can now honor. You can use the "PNP" tab for this.</v>
      </c>
      <c r="CX1042" s="6" t="str">
        <f>CONCATENATE($DQ$1041,C1042,$DS$1041)</f>
        <v xml:space="preserve">Now that you know how receptive 0 is to your shared need, check how responsive they are to your need. Your energing 'responsive rating' depends on this reciprocity. </v>
      </c>
      <c r="CY1042" s="6" t="str">
        <f>CONCATENATE($DQ$1042,C1042,$DS$1042)</f>
        <v>If satisfied with 0's level of responsiveness so far, use the "invite" tab to welcome them to follow your upcoming wellness campaign. It also shares their responsive score.</v>
      </c>
      <c r="CZ1042" s="6" t="str">
        <f ca="1">IF($BX$1034&lt;BY1042,CONCATENATE($DQ$1043,DJ1042,$DS$1043,C1042,$DU$1043),CONCATENATE($DX$1043,C1042,$DZ$1043,DJ1042,$EB$1043,C1042,$ED$1043))</f>
        <v>Since you received no response from 0 since 1/14/1900, mark "no reply" as their response level. Emotionally prepare yourself to drop 0 from consideration.</v>
      </c>
      <c r="DA1042" s="6" t="str">
        <f>CONCATENATE($DQ$1044,C1042,$DS$1044,C1042,$DU$1044)</f>
        <v>Like before, 0 may need a gentle reminder to repond to your invitation. Simply send 0 another "invite" tab message with their evolving responsive score.</v>
      </c>
      <c r="DB1042" s="6" t="str">
        <f>CONCATENATE($DQ$1045,C1042,$DS$1045,C1042,$DU$1045,C1042,$DW$1045)</f>
        <v>Congratulations on completing all these steps to engage 0. If you find 0 responsive enough to 'follow' your upcoming wellness campaign, great! Invite 0 when ready.</v>
      </c>
      <c r="DC1042" s="6" t="s">
        <v>3</v>
      </c>
      <c r="DD1042" s="154" t="s">
        <v>356</v>
      </c>
      <c r="DF1042" s="92">
        <f t="shared" si="61"/>
        <v>14</v>
      </c>
      <c r="DG1042" s="1">
        <f t="shared" si="62"/>
        <v>1</v>
      </c>
      <c r="DH1042" s="1">
        <f t="shared" si="63"/>
        <v>14</v>
      </c>
      <c r="DI1042" s="1">
        <f t="shared" si="64"/>
        <v>1900</v>
      </c>
      <c r="DJ1042" s="4" t="str">
        <f t="shared" si="65"/>
        <v>1/14/1900</v>
      </c>
      <c r="DQ1042" s="1" t="s">
        <v>384</v>
      </c>
      <c r="DR1042" s="6" t="s">
        <v>3</v>
      </c>
      <c r="DS1042" s="6" t="s">
        <v>385</v>
      </c>
    </row>
    <row r="1043" spans="2:134" ht="13.5" hidden="1" thickBot="1" x14ac:dyDescent="0.35">
      <c r="B1043" s="1">
        <f t="shared" si="39"/>
        <v>9</v>
      </c>
      <c r="C1043" s="1">
        <f t="shared" si="30"/>
        <v>0</v>
      </c>
      <c r="D1043" s="1">
        <f>C338</f>
        <v>0</v>
      </c>
      <c r="E1043" s="13">
        <f>L338</f>
        <v>0</v>
      </c>
      <c r="F1043" s="4">
        <f>L341</f>
        <v>0</v>
      </c>
      <c r="G1043" s="4">
        <f t="shared" si="76"/>
        <v>0</v>
      </c>
      <c r="H1043" s="6">
        <f>IF(F341="",($I341-$C341)*0.01,($I341-$F341)*0.01)</f>
        <v>0</v>
      </c>
      <c r="I1043" s="6">
        <f>IF(K343=R$1011,S$1011,IF(K343=R$1012,S$1012,IF(K343=R$1013,S$1013,IF(K343=R$1014,S$1014,IF(K343=R$1015,S$1015,IF(K343=R$1016,S$1016,IF(K343="",0)))))))</f>
        <v>0</v>
      </c>
      <c r="J1043" s="6">
        <f t="shared" si="40"/>
        <v>0</v>
      </c>
      <c r="K1043" s="5">
        <f>(J1043+I$1043)/2-H1043</f>
        <v>0</v>
      </c>
      <c r="L1043" s="3">
        <f t="shared" si="41"/>
        <v>0</v>
      </c>
      <c r="M1043" s="1" t="str">
        <f t="shared" si="42"/>
        <v/>
      </c>
      <c r="N1043" s="1">
        <f>IF(C338=$H$1011,L1043,0)</f>
        <v>0</v>
      </c>
      <c r="O1043" s="10">
        <f t="shared" si="31"/>
        <v>0</v>
      </c>
      <c r="P1043" s="1">
        <f>IF(C338=$H$1012,L1043,0)</f>
        <v>0</v>
      </c>
      <c r="Q1043" s="10">
        <f t="shared" si="32"/>
        <v>0</v>
      </c>
      <c r="R1043" s="13">
        <f t="shared" si="43"/>
        <v>0</v>
      </c>
      <c r="S1043" s="1">
        <f t="shared" si="44"/>
        <v>0</v>
      </c>
      <c r="T1043" s="1">
        <f t="shared" si="45"/>
        <v>0</v>
      </c>
      <c r="U1043" s="1">
        <f t="shared" si="46"/>
        <v>0</v>
      </c>
      <c r="W1043" s="4">
        <f>IF($G347=U$1011,W$1011,IF($G347=U$1012,W$1012,IF($G347=U$1013,W$1013,IF($G347=U$1014,W$1014,IF($G347=U$1015,W$1015,IF($G347=U$1016,W$1016,IF($G347="",0)))))))</f>
        <v>0</v>
      </c>
      <c r="X1043" s="1">
        <f>IF($G353=X$1011,Y$1011,IF($G353=X$1012,Y$1012,IF($G353=X$1013,Y$1013,IF($G353=X$1014,Y$1014,IF($G353=X$1015,Y$1015,IF($G353=X$1016,Y$1016,IF($G353="",0)))))))</f>
        <v>0</v>
      </c>
      <c r="Y1043" s="1">
        <f>IF($M353=C$1011,D$1011,IF($M353=C$1012,D$1012,IF($M353=C$1013,D$1013,IF($M353=C$1014,D$1014,IF($M353=C$1015,D$1015,IF($M353=C$1016,D$1016,IF($M353="",0)))))))</f>
        <v>0</v>
      </c>
      <c r="Z1043" s="59">
        <f t="shared" si="47"/>
        <v>0</v>
      </c>
      <c r="AA1043" s="54">
        <f>IF(OR(G353="",M353=""),0,(X1043+Y1043)/2)</f>
        <v>0</v>
      </c>
      <c r="AD1043" s="4">
        <f t="shared" si="72"/>
        <v>0</v>
      </c>
      <c r="AE1043" s="6">
        <f>IF($F358="",$I358-$C358,$I358-$F358)</f>
        <v>0</v>
      </c>
      <c r="AF1043" s="6">
        <f t="shared" si="73"/>
        <v>0</v>
      </c>
      <c r="AG1043" s="6">
        <f>IF($L358=$C$1016,$D$1016,IF($L358=$C$1015,$D$1015,IF($L358=$C$1014,$D$1014,IF($L358=$C$1013,$D$1013,IF($L358=$C$1012,$D$1012,IF($L358=$C$1011,$D$1011,IF($L358="",0)))))))</f>
        <v>0</v>
      </c>
      <c r="AH1043" s="4">
        <f t="shared" si="74"/>
        <v>0</v>
      </c>
      <c r="AJ1043" s="13">
        <f t="shared" si="75"/>
        <v>0</v>
      </c>
      <c r="AM1043" s="116">
        <f>K343</f>
        <v>0</v>
      </c>
      <c r="AN1043" s="6">
        <f>IF(AL341="",($I341-$C341),($I341-$F341))</f>
        <v>0</v>
      </c>
      <c r="AO1043" s="106" t="str">
        <f t="shared" si="48"/>
        <v/>
      </c>
      <c r="AP1043" s="1" t="str">
        <f t="shared" si="49"/>
        <v xml:space="preserve"> so no % reduction. </v>
      </c>
      <c r="AR1043" s="4">
        <f>$G347</f>
        <v>0</v>
      </c>
      <c r="AT1043" s="1">
        <f>$G353</f>
        <v>0</v>
      </c>
      <c r="AV1043" s="1">
        <f>IF($M353=AX1028,AV1028,IF($M353=AX1029,AV1029,IF($M353=AX1030,AV1030,IF($M353=AX1031,AV1031,IF($M353=AX1032,AV1032,IF($M353=AX1033,AV1033,IF($M353="",0)))))))</f>
        <v>0</v>
      </c>
      <c r="AW1043" s="6" t="s">
        <v>3</v>
      </c>
      <c r="AX1043" s="115">
        <f>$L351</f>
        <v>0</v>
      </c>
      <c r="BA1043" s="1" t="str">
        <f>F356</f>
        <v/>
      </c>
      <c r="BB1043" s="4" t="str">
        <f t="shared" si="50"/>
        <v>At the moment, my wellness goal is still evolving.</v>
      </c>
      <c r="BC1043" s="6" t="s">
        <v>3</v>
      </c>
      <c r="BI1043" s="1">
        <f t="shared" si="51"/>
        <v>9</v>
      </c>
      <c r="BJ1043" s="1">
        <f t="shared" si="52"/>
        <v>0</v>
      </c>
      <c r="BL1043" s="1">
        <f>IF(C341="",0,0.1)</f>
        <v>0</v>
      </c>
      <c r="BM1043" s="1">
        <f>IF(AND(F341="",I341=""),0,0.1)</f>
        <v>0</v>
      </c>
      <c r="BN1043" s="1">
        <f>IF(L341="",0,0.1)</f>
        <v>0</v>
      </c>
      <c r="BO1043" s="1">
        <f>IF(K343="",0,0.1)</f>
        <v>0</v>
      </c>
      <c r="BP1043" s="1">
        <f>IF(G347="",0,0.1)</f>
        <v>0</v>
      </c>
      <c r="BQ1043" s="1">
        <f>IF(G353="",0,0.1)</f>
        <v>0</v>
      </c>
      <c r="BR1043" s="1">
        <f>IF(M353="",0,0.1)</f>
        <v>0</v>
      </c>
      <c r="BS1043" s="1">
        <f>IF(C358="",0,0.1)</f>
        <v>0</v>
      </c>
      <c r="BT1043" s="1">
        <f>IF(AND(F358="",I358=""),0,0.1)</f>
        <v>0</v>
      </c>
      <c r="BU1043" s="1">
        <f>IF(L358="",0,0.1)</f>
        <v>0</v>
      </c>
      <c r="BV1043" s="151">
        <f t="shared" si="66"/>
        <v>0</v>
      </c>
      <c r="BW1043" s="161">
        <v>9</v>
      </c>
      <c r="BX1043" s="148">
        <f>C341</f>
        <v>0</v>
      </c>
      <c r="BY1043" s="149">
        <f>IF(I358="",F358,I358)</f>
        <v>0</v>
      </c>
      <c r="BZ1043" s="150">
        <f t="shared" si="53"/>
        <v>0</v>
      </c>
      <c r="CA1043" s="1">
        <f t="shared" si="34"/>
        <v>0</v>
      </c>
      <c r="CB1043" s="1">
        <f t="shared" si="67"/>
        <v>0</v>
      </c>
      <c r="CC1043" s="92">
        <f t="shared" si="54"/>
        <v>14</v>
      </c>
      <c r="CD1043" s="1">
        <f t="shared" si="55"/>
        <v>1</v>
      </c>
      <c r="CE1043" s="1">
        <f t="shared" si="56"/>
        <v>14</v>
      </c>
      <c r="CF1043" s="1">
        <f t="shared" si="57"/>
        <v>1900</v>
      </c>
      <c r="CG1043" s="4" t="str">
        <f t="shared" si="58"/>
        <v>1/14/1900</v>
      </c>
      <c r="CH1043" s="1">
        <f t="shared" si="35"/>
        <v>1</v>
      </c>
      <c r="CI1043" s="1" t="str">
        <f t="shared" si="36"/>
        <v xml:space="preserve">January </v>
      </c>
      <c r="CJ1043" s="1">
        <f t="shared" si="37"/>
        <v>0</v>
      </c>
      <c r="CL1043" s="1" t="s">
        <v>266</v>
      </c>
      <c r="CM1043" s="1">
        <f t="shared" si="38"/>
        <v>1900</v>
      </c>
      <c r="CN1043" s="4" t="str">
        <f t="shared" si="59"/>
        <v/>
      </c>
      <c r="CP1043" s="142" t="str">
        <f>IF(M642=CR$1034,CR1043,IF(M642=CS$1034,CS1043,IF(M642=CT$1034,CT1043,IF(M642=CU$1034,CU1043,IF(M642=CV$1034,CV1043,IF(M642=CW$1034,CW1043,IF(M642=CX$1034,CX1043,IF(M642=CY$1034,CY1043,IF(M642=CZ$1034,CZ1043,IF(M642=DA$1034,DA1043,IF(DB$1034,DB1043,IF(M642="",""))))))))))))</f>
        <v>Congratulations on completing all these steps to engage 0. If you find 0 responsive enough to 'follow' your upcoming wellness campaign, great! Invite 0 when ready.</v>
      </c>
      <c r="CQ1043" s="168">
        <v>9</v>
      </c>
      <c r="CR1043" s="1" t="str">
        <f t="shared" si="68"/>
        <v>You have yet to invite 0 to this warmup wellness exercise. After you send 0 an INVITATION card, meme, or video, be sure to mark the date and proceed with these steps.</v>
      </c>
      <c r="CS1043" s="1" t="str">
        <f t="shared" si="69"/>
        <v>You first invited 0 0, back on . Since 0 days have gone by, use the "follow-up" message template to remind them to share a need.</v>
      </c>
      <c r="CT1043" s="1" t="e" cm="1">
        <f t="array" aca="1" ref="CT1043" ca="1">IF(CC1043&gt;$BX$1034,CONCATENATE($DQ$1037,CG1043,$DS$1037,C1043,$DU$1037),CONCOTENATE($DX$1037,C1043,$DZ$1037,CG1043,$EB$1037))</f>
        <v>#NAME?</v>
      </c>
      <c r="CU1043" s="6" t="str">
        <f t="shared" si="70"/>
        <v>Estimate 0's level of urgency for their expressed need. In the next step, you can ask 0 how meaningful this need was for them. For now, trust your instinct of its urgency.</v>
      </c>
      <c r="CV1043" s="6" t="str">
        <f t="shared" si="71"/>
        <v>Establish your 'responsive rating' by having 0 rate how satisfied with your efforts to serve their need. Use the "rate me" tab to solicit their feedback and check their urgency level.</v>
      </c>
      <c r="CW1043" s="6" t="str">
        <f t="shared" si="60"/>
        <v>So far, you're doing great with 0! With 50% of these steps completed, it's now time to give 0 a need of yours they can now honor. You can use the "PNP" tab for this.</v>
      </c>
      <c r="CX1043" s="6" t="str">
        <f>CONCATENATE($DQ$1041,C1043,$DS$1041)</f>
        <v xml:space="preserve">Now that you know how receptive 0 is to your shared need, check how responsive they are to your need. Your energing 'responsive rating' depends on this reciprocity. </v>
      </c>
      <c r="CY1043" s="6" t="str">
        <f>CONCATENATE($DQ$1042,C1043,$DS$1042)</f>
        <v>If satisfied with 0's level of responsiveness so far, use the "invite" tab to welcome them to follow your upcoming wellness campaign. It also shares their responsive score.</v>
      </c>
      <c r="CZ1043" s="6" t="str">
        <f ca="1">IF($BX$1034&lt;BY1043,CONCATENATE($DQ$1043,DJ1043,$DS$1043,C1043,$DU$1043),CONCATENATE($DX$1043,C1043,$DZ$1043,DJ1043,$EB$1043,C1043,$ED$1043))</f>
        <v>Since you received no response from 0 since 1/14/1900, mark "no reply" as their response level. Emotionally prepare yourself to drop 0 from consideration.</v>
      </c>
      <c r="DA1043" s="6" t="str">
        <f>CONCATENATE($DQ$1044,C1043,$DS$1044,C1043,$DU$1044)</f>
        <v>Like before, 0 may need a gentle reminder to repond to your invitation. Simply send 0 another "invite" tab message with their evolving responsive score.</v>
      </c>
      <c r="DB1043" s="6" t="str">
        <f>CONCATENATE($DQ$1045,C1043,$DS$1045,C1043,$DU$1045,C1043,$DW$1045)</f>
        <v>Congratulations on completing all these steps to engage 0. If you find 0 responsive enough to 'follow' your upcoming wellness campaign, great! Invite 0 when ready.</v>
      </c>
      <c r="DC1043" s="6" t="s">
        <v>3</v>
      </c>
      <c r="DD1043" s="154" t="s">
        <v>357</v>
      </c>
      <c r="DF1043" s="92">
        <f t="shared" si="61"/>
        <v>14</v>
      </c>
      <c r="DG1043" s="1">
        <f t="shared" si="62"/>
        <v>1</v>
      </c>
      <c r="DH1043" s="1">
        <f t="shared" si="63"/>
        <v>14</v>
      </c>
      <c r="DI1043" s="1">
        <f t="shared" si="64"/>
        <v>1900</v>
      </c>
      <c r="DJ1043" s="4" t="str">
        <f t="shared" si="65"/>
        <v>1/14/1900</v>
      </c>
      <c r="DQ1043" s="1" t="s">
        <v>368</v>
      </c>
      <c r="DR1043" s="13" t="s">
        <v>388</v>
      </c>
      <c r="DS1043" s="1" t="s">
        <v>389</v>
      </c>
      <c r="DU1043" s="1" t="s">
        <v>386</v>
      </c>
      <c r="DW1043" s="6" t="s">
        <v>3</v>
      </c>
      <c r="DX1043" s="1" t="s">
        <v>372</v>
      </c>
      <c r="DZ1043" s="1" t="s">
        <v>374</v>
      </c>
      <c r="EB1043" s="1" t="s">
        <v>387</v>
      </c>
      <c r="ED1043" s="1" t="s">
        <v>386</v>
      </c>
    </row>
    <row r="1044" spans="2:134" ht="13.5" hidden="1" thickBot="1" x14ac:dyDescent="0.35">
      <c r="B1044" s="1">
        <f t="shared" si="39"/>
        <v>10</v>
      </c>
      <c r="C1044" s="1">
        <f t="shared" si="30"/>
        <v>0</v>
      </c>
      <c r="D1044" s="1">
        <f>C362</f>
        <v>0</v>
      </c>
      <c r="E1044" s="13">
        <f>L362</f>
        <v>0</v>
      </c>
      <c r="F1044" s="4">
        <f>L365</f>
        <v>0</v>
      </c>
      <c r="G1044" s="4">
        <f t="shared" si="76"/>
        <v>0</v>
      </c>
      <c r="H1044" s="6">
        <f>IF(F365="",($I365-$C365)*0.01,($I365-$F365)*0.01)</f>
        <v>0</v>
      </c>
      <c r="I1044" s="6">
        <f>IF(K367=R$1011,S$1011,IF(K367=R$1012,S$1012,IF(K367=R$1013,S$1013,IF(K367=R$1014,S$1014,IF(K367=R$1015,S$1015,IF(K367=R$1016,S$1016,IF(K367="",0)))))))</f>
        <v>0</v>
      </c>
      <c r="J1044" s="6">
        <f t="shared" si="40"/>
        <v>0</v>
      </c>
      <c r="K1044" s="5">
        <f>(J1044+I$1044)/2-H1044</f>
        <v>0</v>
      </c>
      <c r="L1044" s="3">
        <f t="shared" si="41"/>
        <v>0</v>
      </c>
      <c r="M1044" s="1" t="str">
        <f t="shared" si="42"/>
        <v/>
      </c>
      <c r="N1044" s="1">
        <f>IF(C362=$H$1011,L1044,0)</f>
        <v>0</v>
      </c>
      <c r="O1044" s="10">
        <f t="shared" si="31"/>
        <v>0</v>
      </c>
      <c r="P1044" s="1">
        <f>IF(C362=$H$1012,L1044,0)</f>
        <v>0</v>
      </c>
      <c r="Q1044" s="10">
        <f t="shared" si="32"/>
        <v>0</v>
      </c>
      <c r="R1044" s="13">
        <f t="shared" si="43"/>
        <v>0</v>
      </c>
      <c r="S1044" s="1">
        <f t="shared" si="44"/>
        <v>0</v>
      </c>
      <c r="T1044" s="1">
        <f t="shared" si="45"/>
        <v>0</v>
      </c>
      <c r="U1044" s="1">
        <f t="shared" si="46"/>
        <v>0</v>
      </c>
      <c r="W1044" s="4">
        <f>IF($G371=U$1011,W$1011,IF($G371=U$1012,W$1012,IF($G371=U$1013,W$1013,IF($G371=U$1014,W$1014,IF($G371=U$1015,W$1015,IF($G371=U$1016,W$1016,IF($G371="",0)))))))</f>
        <v>0</v>
      </c>
      <c r="X1044" s="1">
        <f>IF($G377=X$1011,Y$1011,IF($G377=X$1012,Y$1012,IF($G377=X$1013,Y$1013,IF($G377=X$1014,Y$1014,IF($G377=X$1015,Y$1015,IF($G377=X$1016,Y$1016,IF($G377="",0)))))))</f>
        <v>0</v>
      </c>
      <c r="Y1044" s="1">
        <f>IF($M377=C$1011,D$1011,IF($M377=C$1012,D$1012,IF($M377=C$1013,D$1013,IF($M377=C$1014,D$1014,IF($M377=C$1015,D$1015,IF($M377=C$1016,D$1016,IF($M377="",0)))))))</f>
        <v>0</v>
      </c>
      <c r="Z1044" s="59">
        <f t="shared" si="47"/>
        <v>0</v>
      </c>
      <c r="AA1044" s="54">
        <f>IF(OR(G377="",M377=""),0,(X1044+Y1044)/2)</f>
        <v>0</v>
      </c>
      <c r="AD1044" s="4">
        <f t="shared" si="72"/>
        <v>0</v>
      </c>
      <c r="AE1044" s="6">
        <f>IF($F382="",$I382-$C382,$I382-$F382)</f>
        <v>0</v>
      </c>
      <c r="AF1044" s="6">
        <f t="shared" si="73"/>
        <v>0</v>
      </c>
      <c r="AG1044" s="6">
        <f>IF($L382=$C$1016,$D$1016,IF($L382=$C$1015,$D$1015,IF($L382=$C$1014,$D$1014,IF($L382=$C$1013,$D$1013,IF($L382=$C$1012,$D$1012,IF($L382=$C$1011,$D$1011,IF($L382="",0)))))))</f>
        <v>0</v>
      </c>
      <c r="AH1044" s="4">
        <f t="shared" si="74"/>
        <v>0</v>
      </c>
      <c r="AJ1044" s="13">
        <f t="shared" si="75"/>
        <v>0</v>
      </c>
      <c r="AM1044" s="116">
        <f>K367</f>
        <v>0</v>
      </c>
      <c r="AN1044" s="6">
        <f>IF(AL365="",($I365-$C365),($I365-$F365))</f>
        <v>0</v>
      </c>
      <c r="AO1044" s="106" t="str">
        <f t="shared" si="48"/>
        <v/>
      </c>
      <c r="AP1044" s="1" t="str">
        <f t="shared" si="49"/>
        <v xml:space="preserve"> so no % reduction. </v>
      </c>
      <c r="AR1044" s="4">
        <f>$G371</f>
        <v>0</v>
      </c>
      <c r="AT1044" s="1">
        <f>$G377</f>
        <v>0</v>
      </c>
      <c r="AV1044" s="1">
        <f>IF($M377=AX1028,AV1028,IF($M377=AX1029,AV1029,IF($M377=AX1030,AV1030,IF($M377=AX1031,AV1031,IF($M377=AX1032,AV1032,IF($M377=AX1033,AV1033,IF($M377="",0)))))))</f>
        <v>0</v>
      </c>
      <c r="AW1044" s="6" t="s">
        <v>3</v>
      </c>
      <c r="AX1044" s="115">
        <f>$L375</f>
        <v>0</v>
      </c>
      <c r="BA1044" s="1" t="str">
        <f>F380</f>
        <v/>
      </c>
      <c r="BB1044" s="4" t="str">
        <f t="shared" si="50"/>
        <v>At the moment, my wellness goal is still evolving.</v>
      </c>
      <c r="BC1044" s="6" t="s">
        <v>3</v>
      </c>
      <c r="BI1044" s="1">
        <f t="shared" si="51"/>
        <v>10</v>
      </c>
      <c r="BJ1044" s="1">
        <f t="shared" si="52"/>
        <v>0</v>
      </c>
      <c r="BL1044" s="1">
        <f>IF(C365="",0,0.1)</f>
        <v>0</v>
      </c>
      <c r="BM1044" s="1">
        <f>IF(AND(F365="",I365=""),0,0.1)</f>
        <v>0</v>
      </c>
      <c r="BN1044" s="1">
        <f>IF(L365="",0,0.1)</f>
        <v>0</v>
      </c>
      <c r="BO1044" s="1">
        <f>IF(K367="",0,0.1)</f>
        <v>0</v>
      </c>
      <c r="BP1044" s="1">
        <f>IF(G371="",0,0.1)</f>
        <v>0</v>
      </c>
      <c r="BQ1044" s="1">
        <f>IF(G377="",0,0.1)</f>
        <v>0</v>
      </c>
      <c r="BR1044" s="1">
        <f>IF(M377="",0,0.1)</f>
        <v>0</v>
      </c>
      <c r="BS1044" s="1">
        <f>IF(C382="",0,0.1)</f>
        <v>0</v>
      </c>
      <c r="BT1044" s="1">
        <f>IF(AND(F382="",I382=""),0,0.1)</f>
        <v>0</v>
      </c>
      <c r="BU1044" s="1">
        <f>IF(L382="",0,0.1)</f>
        <v>0</v>
      </c>
      <c r="BV1044" s="151">
        <f t="shared" si="66"/>
        <v>0</v>
      </c>
      <c r="BW1044" s="161">
        <v>10</v>
      </c>
      <c r="BX1044" s="148">
        <f>C365</f>
        <v>0</v>
      </c>
      <c r="BY1044" s="149">
        <f>IF(I382="",F382,I382)</f>
        <v>0</v>
      </c>
      <c r="BZ1044" s="150">
        <f t="shared" si="53"/>
        <v>0</v>
      </c>
      <c r="CA1044" s="1">
        <f t="shared" si="34"/>
        <v>0</v>
      </c>
      <c r="CB1044" s="1">
        <f t="shared" si="67"/>
        <v>0</v>
      </c>
      <c r="CC1044" s="92">
        <f t="shared" si="54"/>
        <v>14</v>
      </c>
      <c r="CD1044" s="1">
        <f t="shared" si="55"/>
        <v>1</v>
      </c>
      <c r="CE1044" s="1">
        <f t="shared" si="56"/>
        <v>14</v>
      </c>
      <c r="CF1044" s="1">
        <f t="shared" si="57"/>
        <v>1900</v>
      </c>
      <c r="CG1044" s="4" t="str">
        <f t="shared" si="58"/>
        <v>1/14/1900</v>
      </c>
      <c r="CH1044" s="1">
        <f t="shared" si="35"/>
        <v>1</v>
      </c>
      <c r="CI1044" s="1" t="str">
        <f t="shared" si="36"/>
        <v xml:space="preserve">January </v>
      </c>
      <c r="CJ1044" s="1">
        <f t="shared" si="37"/>
        <v>0</v>
      </c>
      <c r="CL1044" s="1" t="s">
        <v>266</v>
      </c>
      <c r="CM1044" s="1">
        <f t="shared" si="38"/>
        <v>1900</v>
      </c>
      <c r="CN1044" s="4" t="str">
        <f t="shared" si="59"/>
        <v/>
      </c>
      <c r="CP1044" s="142" t="str">
        <f>IF(M644=CR$1034,CR1044,IF(M644=CS$1034,CS1044,IF(M644=CT$1034,CT1044,IF(M644=CU$1034,CU1044,IF(M644=CV$1034,CV1044,IF(M644=CW$1034,CW1044,IF(M644=CX$1034,CX1044,IF(M644=CY$1034,CY1044,IF(M644=CZ$1034,CZ1044,IF(M644=DA$1034,DA1044,IF(DB$1034,DB1044,IF(M644="",""))))))))))))</f>
        <v>Congratulations on completing all these steps to engage 0. If you find 0 responsive enough to 'follow' your upcoming wellness campaign, great! Invite 0 when ready.</v>
      </c>
      <c r="CQ1044" s="168">
        <v>10</v>
      </c>
      <c r="CR1044" s="1" t="str">
        <f t="shared" si="68"/>
        <v>You have yet to invite 0 to this warmup wellness exercise. After you send 0 an INVITATION card, meme, or video, be sure to mark the date and proceed with these steps.</v>
      </c>
      <c r="CS1044" s="1" t="str">
        <f t="shared" si="69"/>
        <v>You first invited 0 0, back on . Since 0 days have gone by, use the "follow-up" message template to remind them to share a need.</v>
      </c>
      <c r="CT1044" s="1" t="e" cm="1">
        <f t="array" aca="1" ref="CT1044" ca="1">IF(CC1044&gt;$BX$1034,CONCATENATE($DQ$1037,CG1044,$DS$1037,C1044,$DU$1037),CONCOTENATE($DX$1037,C1044,$DZ$1037,CG1044,$EB$1037))</f>
        <v>#NAME?</v>
      </c>
      <c r="CU1044" s="6" t="str">
        <f t="shared" si="70"/>
        <v>Estimate 0's level of urgency for their expressed need. In the next step, you can ask 0 how meaningful this need was for them. For now, trust your instinct of its urgency.</v>
      </c>
      <c r="CV1044" s="6" t="str">
        <f t="shared" si="71"/>
        <v>Establish your 'responsive rating' by having 0 rate how satisfied with your efforts to serve their need. Use the "rate me" tab to solicit their feedback and check their urgency level.</v>
      </c>
      <c r="CW1044" s="6" t="str">
        <f t="shared" si="60"/>
        <v>So far, you're doing great with 0! With 50% of these steps completed, it's now time to give 0 a need of yours they can now honor. You can use the "PNP" tab for this.</v>
      </c>
      <c r="CX1044" s="6" t="str">
        <f>CONCATENATE($DQ$1041,C1044,$DS$1041)</f>
        <v xml:space="preserve">Now that you know how receptive 0 is to your shared need, check how responsive they are to your need. Your energing 'responsive rating' depends on this reciprocity. </v>
      </c>
      <c r="CY1044" s="6" t="str">
        <f>CONCATENATE($DQ$1042,C1044,$DS$1042)</f>
        <v>If satisfied with 0's level of responsiveness so far, use the "invite" tab to welcome them to follow your upcoming wellness campaign. It also shares their responsive score.</v>
      </c>
      <c r="CZ1044" s="6" t="str">
        <f ca="1">IF($BX$1034&lt;BY1044,CONCATENATE($DQ$1043,DJ1044,$DS$1043,C1044,$DU$1043),CONCATENATE($DX$1043,C1044,$DZ$1043,DJ1044,$EB$1043,C1044,$ED$1043))</f>
        <v>Since you received no response from 0 since 1/14/1900, mark "no reply" as their response level. Emotionally prepare yourself to drop 0 from consideration.</v>
      </c>
      <c r="DA1044" s="6" t="str">
        <f>CONCATENATE($DQ$1044,C1044,$DS$1044,C1044,$DU$1044)</f>
        <v>Like before, 0 may need a gentle reminder to repond to your invitation. Simply send 0 another "invite" tab message with their evolving responsive score.</v>
      </c>
      <c r="DB1044" s="6" t="str">
        <f>CONCATENATE($DQ$1045,C1044,$DS$1045,C1044,$DU$1045,C1044,$DW$1045)</f>
        <v>Congratulations on completing all these steps to engage 0. If you find 0 responsive enough to 'follow' your upcoming wellness campaign, great! Invite 0 when ready.</v>
      </c>
      <c r="DC1044" s="6" t="s">
        <v>3</v>
      </c>
      <c r="DD1044" s="154" t="s">
        <v>358</v>
      </c>
      <c r="DF1044" s="92">
        <f t="shared" si="61"/>
        <v>14</v>
      </c>
      <c r="DG1044" s="1">
        <f t="shared" si="62"/>
        <v>1</v>
      </c>
      <c r="DH1044" s="1">
        <f t="shared" si="63"/>
        <v>14</v>
      </c>
      <c r="DI1044" s="1">
        <f t="shared" si="64"/>
        <v>1900</v>
      </c>
      <c r="DJ1044" s="4" t="str">
        <f t="shared" si="65"/>
        <v>1/14/1900</v>
      </c>
      <c r="DQ1044" s="1" t="s">
        <v>390</v>
      </c>
      <c r="DR1044" s="6" t="s">
        <v>3</v>
      </c>
      <c r="DS1044" s="1" t="s">
        <v>391</v>
      </c>
      <c r="DT1044" s="6" t="s">
        <v>3</v>
      </c>
      <c r="DU1044" s="1" t="s">
        <v>392</v>
      </c>
      <c r="DV1044" s="6" t="s">
        <v>3</v>
      </c>
    </row>
    <row r="1045" spans="2:134" ht="13.5" hidden="1" thickBot="1" x14ac:dyDescent="0.35">
      <c r="B1045" s="1">
        <f t="shared" si="39"/>
        <v>11</v>
      </c>
      <c r="C1045" s="1">
        <f t="shared" si="30"/>
        <v>0</v>
      </c>
      <c r="D1045" s="1">
        <f>C386</f>
        <v>0</v>
      </c>
      <c r="E1045" s="13">
        <f>L386</f>
        <v>0</v>
      </c>
      <c r="F1045" s="4">
        <f>L389</f>
        <v>0</v>
      </c>
      <c r="G1045" s="4">
        <f t="shared" si="76"/>
        <v>0</v>
      </c>
      <c r="H1045" s="6">
        <f>IF(F389="",($I389-$C389)*0.01,($I389-$F389)*0.01)</f>
        <v>0</v>
      </c>
      <c r="I1045" s="6">
        <f>IF(K391=R$1011,S$1011,IF(K391=R$1012,S$1012,IF(K391=R$1013,S$1013,IF(K391=R$1014,S$1014,IF(K391=R$1015,S$1015,IF(K391=R$1016,S$1016,IF(K391="",0)))))))</f>
        <v>0</v>
      </c>
      <c r="J1045" s="6">
        <f t="shared" si="40"/>
        <v>0</v>
      </c>
      <c r="K1045" s="5">
        <f>(J1045+I$1045)/2-H1045</f>
        <v>0</v>
      </c>
      <c r="L1045" s="3">
        <f t="shared" si="41"/>
        <v>0</v>
      </c>
      <c r="M1045" s="1" t="str">
        <f t="shared" si="42"/>
        <v/>
      </c>
      <c r="N1045" s="1">
        <f>IF(C386=$H$1011,L1045,0)</f>
        <v>0</v>
      </c>
      <c r="O1045" s="10">
        <f t="shared" si="31"/>
        <v>0</v>
      </c>
      <c r="P1045" s="1">
        <f>IF(C386=$H$1012,L1045,0)</f>
        <v>0</v>
      </c>
      <c r="Q1045" s="10">
        <f t="shared" si="32"/>
        <v>0</v>
      </c>
      <c r="R1045" s="13">
        <f t="shared" si="43"/>
        <v>0</v>
      </c>
      <c r="S1045" s="1">
        <f t="shared" si="44"/>
        <v>0</v>
      </c>
      <c r="T1045" s="1">
        <f t="shared" si="45"/>
        <v>0</v>
      </c>
      <c r="U1045" s="1">
        <f t="shared" si="46"/>
        <v>0</v>
      </c>
      <c r="W1045" s="4">
        <f>IF($G395=U$1011,W$1011,IF($G395=U$1012,W$1012,IF($G395=U$1013,W$1013,IF($G395=U$1014,W$1014,IF($G395=U$1015,W$1015,IF($G395=U$1016,W$1016,IF($G395="",0)))))))</f>
        <v>0</v>
      </c>
      <c r="X1045" s="1">
        <f>IF($G401=X$1011,Y$1011,IF($G401=X$1012,Y$1012,IF($G401=X$1013,Y$1013,IF($G401=X$1014,Y$1014,IF($G401=X$1015,Y$1015,IF($G401=X$1016,Y$1016,IF($G401="",0)))))))</f>
        <v>0</v>
      </c>
      <c r="Y1045" s="1">
        <f>IF($M401=C$1011,D$1011,IF($M401=C$1012,D$1012,IF($M401=C$1013,D$1013,IF($M401=C$1014,D$1014,IF($M401=C$1015,D$1015,IF($M401=C$1016,D$1016,IF($M401="",0)))))))</f>
        <v>0</v>
      </c>
      <c r="Z1045" s="59">
        <f t="shared" si="47"/>
        <v>0</v>
      </c>
      <c r="AA1045" s="54">
        <f>IF(OR(G401="",M401=""),0,(X1045+Y1045)/2)</f>
        <v>0</v>
      </c>
      <c r="AD1045" s="4">
        <f t="shared" si="72"/>
        <v>0</v>
      </c>
      <c r="AE1045" s="6">
        <f>IF($F406="",$I406-$C406,$I406-$F406)</f>
        <v>0</v>
      </c>
      <c r="AF1045" s="6">
        <f t="shared" si="73"/>
        <v>0</v>
      </c>
      <c r="AG1045" s="6">
        <f>IF($L406=$C$1016,$D$1016,IF($L406=$C$1015,$D$1015,IF($L406=$C$1014,$D$1014,IF($L406=$C$1013,$D$1013,IF($L406=$C$1012,$D$1012,IF($L406=$C$1011,$D$1011,IF($L406="",0)))))))</f>
        <v>0</v>
      </c>
      <c r="AH1045" s="4">
        <f t="shared" si="74"/>
        <v>0</v>
      </c>
      <c r="AJ1045" s="13">
        <f t="shared" si="75"/>
        <v>0</v>
      </c>
      <c r="AM1045" s="116">
        <f>K391</f>
        <v>0</v>
      </c>
      <c r="AN1045" s="6">
        <f>IF(AL389="",($I389-$C389),($I389-$F389))</f>
        <v>0</v>
      </c>
      <c r="AO1045" s="106" t="str">
        <f t="shared" si="48"/>
        <v/>
      </c>
      <c r="AP1045" s="1" t="str">
        <f t="shared" si="49"/>
        <v xml:space="preserve"> so no % reduction. </v>
      </c>
      <c r="AR1045" s="4">
        <f>$G395</f>
        <v>0</v>
      </c>
      <c r="AT1045" s="1">
        <f>$G401</f>
        <v>0</v>
      </c>
      <c r="AV1045" s="1">
        <f>IF($M401=AX1028,AV1028,IF($M401=AX1029,AV1029,IF($M401=AX1030,AV1030,IF($M401=AX1031,AV1031,IF($M401=AX1032,AV1032,IF($M401=AX1033,AV1033,IF($M401="",0)))))))</f>
        <v>0</v>
      </c>
      <c r="AW1045" s="6" t="s">
        <v>3</v>
      </c>
      <c r="AX1045" s="115">
        <f>$L399</f>
        <v>0</v>
      </c>
      <c r="BA1045" s="1" t="str">
        <f>F404</f>
        <v/>
      </c>
      <c r="BB1045" s="4" t="str">
        <f t="shared" si="50"/>
        <v>At the moment, my wellness goal is still evolving.</v>
      </c>
      <c r="BC1045" s="6" t="s">
        <v>3</v>
      </c>
      <c r="BI1045" s="1">
        <f t="shared" si="51"/>
        <v>11</v>
      </c>
      <c r="BJ1045" s="1">
        <f t="shared" si="52"/>
        <v>0</v>
      </c>
      <c r="BL1045" s="1">
        <f>IF(C389="",0,0.1)</f>
        <v>0</v>
      </c>
      <c r="BM1045" s="1">
        <f>IF(AND(F389="",I389=""),0,0.1)</f>
        <v>0</v>
      </c>
      <c r="BN1045" s="1">
        <f>IF(L389="",0,0.1)</f>
        <v>0</v>
      </c>
      <c r="BO1045" s="1">
        <f>IF(K391="",0,0.1)</f>
        <v>0</v>
      </c>
      <c r="BP1045" s="1">
        <f>IF(G395="",0,0.1)</f>
        <v>0</v>
      </c>
      <c r="BQ1045" s="1">
        <f>IF(G401="",0,0.1)</f>
        <v>0</v>
      </c>
      <c r="BR1045" s="1">
        <f>IF(M401="",0,0.1)</f>
        <v>0</v>
      </c>
      <c r="BS1045" s="1">
        <f>IF(C406="",0,0.1)</f>
        <v>0</v>
      </c>
      <c r="BT1045" s="1">
        <f>IF(AND(F406="",I406=""),0,0.1)</f>
        <v>0</v>
      </c>
      <c r="BU1045" s="1">
        <f>IF(L406="",0,0.1)</f>
        <v>0</v>
      </c>
      <c r="BV1045" s="151">
        <f t="shared" si="66"/>
        <v>0</v>
      </c>
      <c r="BW1045" s="161">
        <v>11</v>
      </c>
      <c r="BX1045" s="148">
        <f>C389</f>
        <v>0</v>
      </c>
      <c r="BY1045" s="149">
        <f>IF(I406="",F406,I406)</f>
        <v>0</v>
      </c>
      <c r="BZ1045" s="150">
        <f t="shared" si="53"/>
        <v>0</v>
      </c>
      <c r="CA1045" s="1">
        <f t="shared" si="34"/>
        <v>0</v>
      </c>
      <c r="CB1045" s="1">
        <f t="shared" si="67"/>
        <v>0</v>
      </c>
      <c r="CC1045" s="92">
        <f t="shared" si="54"/>
        <v>14</v>
      </c>
      <c r="CD1045" s="1">
        <f t="shared" si="55"/>
        <v>1</v>
      </c>
      <c r="CE1045" s="1">
        <f t="shared" si="56"/>
        <v>14</v>
      </c>
      <c r="CF1045" s="1">
        <f t="shared" si="57"/>
        <v>1900</v>
      </c>
      <c r="CG1045" s="4" t="str">
        <f t="shared" si="58"/>
        <v>1/14/1900</v>
      </c>
      <c r="CH1045" s="1">
        <f t="shared" si="35"/>
        <v>1</v>
      </c>
      <c r="CI1045" s="1" t="str">
        <f t="shared" si="36"/>
        <v xml:space="preserve">January </v>
      </c>
      <c r="CJ1045" s="1">
        <f t="shared" si="37"/>
        <v>0</v>
      </c>
      <c r="CL1045" s="1" t="s">
        <v>266</v>
      </c>
      <c r="CM1045" s="1">
        <f t="shared" si="38"/>
        <v>1900</v>
      </c>
      <c r="CN1045" s="4" t="str">
        <f t="shared" si="59"/>
        <v/>
      </c>
      <c r="CP1045" s="142" t="str">
        <f>IF(M649=CR$1034,CR1045,IF(M649=CS$1034,CS1045,IF(M649=CT$1034,CT1045,IF(M649=CU$1034,CU1045,IF(M649=CV$1034,CV1045,IF(M649=CW$1034,CW1045,IF(M649=CX$1034,CX1045,IF(M649=CY$1034,CY1045,IF(M649=CZ$1034,CZ1045,IF(M649=DA$1034,DA1045,IF(DB$1034,DB1045,IF(M649="",""))))))))))))</f>
        <v>Congratulations on completing all these steps to engage 0. If you find 0 responsive enough to 'follow' your upcoming wellness campaign, great! Invite 0 when ready.</v>
      </c>
      <c r="CQ1045" s="168">
        <v>11</v>
      </c>
      <c r="CR1045" s="1" t="str">
        <f t="shared" si="68"/>
        <v>You have yet to invite 0 to this warmup wellness exercise. After you send 0 an INVITATION card, meme, or video, be sure to mark the date and proceed with these steps.</v>
      </c>
      <c r="CS1045" s="1" t="str">
        <f t="shared" si="69"/>
        <v>You first invited 0 0, back on . Since 0 days have gone by, use the "follow-up" message template to remind them to share a need.</v>
      </c>
      <c r="CT1045" s="1" t="e" cm="1">
        <f t="array" aca="1" ref="CT1045" ca="1">IF(CC1045&gt;$BX$1034,CONCATENATE($DQ$1037,CG1045,$DS$1037,C1045,$DU$1037),CONCOTENATE($DX$1037,C1045,$DZ$1037,CG1045,$EB$1037))</f>
        <v>#NAME?</v>
      </c>
      <c r="CU1045" s="6" t="str">
        <f t="shared" si="70"/>
        <v>Estimate 0's level of urgency for their expressed need. In the next step, you can ask 0 how meaningful this need was for them. For now, trust your instinct of its urgency.</v>
      </c>
      <c r="CV1045" s="6" t="str">
        <f t="shared" si="71"/>
        <v>Establish your 'responsive rating' by having 0 rate how satisfied with your efforts to serve their need. Use the "rate me" tab to solicit their feedback and check their urgency level.</v>
      </c>
      <c r="CW1045" s="6" t="str">
        <f t="shared" si="60"/>
        <v>So far, you're doing great with 0! With 50% of these steps completed, it's now time to give 0 a need of yours they can now honor. You can use the "PNP" tab for this.</v>
      </c>
      <c r="CX1045" s="6" t="str">
        <f>CONCATENATE($DQ$1041,C1045,$DS$1041)</f>
        <v xml:space="preserve">Now that you know how receptive 0 is to your shared need, check how responsive they are to your need. Your energing 'responsive rating' depends on this reciprocity. </v>
      </c>
      <c r="CY1045" s="6" t="str">
        <f>CONCATENATE($DQ$1042,C1045,$DS$1042)</f>
        <v>If satisfied with 0's level of responsiveness so far, use the "invite" tab to welcome them to follow your upcoming wellness campaign. It also shares their responsive score.</v>
      </c>
      <c r="CZ1045" s="6" t="str">
        <f ca="1">IF($BX$1034&lt;BY1045,CONCATENATE($DQ$1043,DJ1045,$DS$1043,C1045,$DU$1043),CONCATENATE($DX$1043,C1045,$DZ$1043,DJ1045,$EB$1043,C1045,$ED$1043))</f>
        <v>Since you received no response from 0 since 1/14/1900, mark "no reply" as their response level. Emotionally prepare yourself to drop 0 from consideration.</v>
      </c>
      <c r="DA1045" s="6" t="str">
        <f>CONCATENATE($DQ$1044,C1045,$DS$1044,C1045,$DU$1044)</f>
        <v>Like before, 0 may need a gentle reminder to repond to your invitation. Simply send 0 another "invite" tab message with their evolving responsive score.</v>
      </c>
      <c r="DB1045" s="6" t="str">
        <f>CONCATENATE($DQ$1045,C1045,$DS$1045,C1045,$DU$1045,C1045,$DW$1045)</f>
        <v>Congratulations on completing all these steps to engage 0. If you find 0 responsive enough to 'follow' your upcoming wellness campaign, great! Invite 0 when ready.</v>
      </c>
      <c r="DC1045" s="6" t="s">
        <v>3</v>
      </c>
      <c r="DD1045" s="154" t="s">
        <v>359</v>
      </c>
      <c r="DF1045" s="92">
        <f t="shared" si="61"/>
        <v>14</v>
      </c>
      <c r="DG1045" s="1">
        <f t="shared" si="62"/>
        <v>1</v>
      </c>
      <c r="DH1045" s="1">
        <f t="shared" si="63"/>
        <v>14</v>
      </c>
      <c r="DI1045" s="1">
        <f t="shared" si="64"/>
        <v>1900</v>
      </c>
      <c r="DJ1045" s="4" t="str">
        <f t="shared" si="65"/>
        <v>1/14/1900</v>
      </c>
      <c r="DQ1045" s="1" t="s">
        <v>393</v>
      </c>
      <c r="DR1045" s="6" t="s">
        <v>3</v>
      </c>
      <c r="DS1045" s="1" t="s">
        <v>394</v>
      </c>
      <c r="DT1045" s="6" t="s">
        <v>3</v>
      </c>
      <c r="DU1045" s="1" t="s">
        <v>396</v>
      </c>
      <c r="DV1045" s="6" t="s">
        <v>3</v>
      </c>
      <c r="DW1045" s="1" t="s">
        <v>395</v>
      </c>
    </row>
    <row r="1046" spans="2:134" ht="13.5" hidden="1" thickBot="1" x14ac:dyDescent="0.35">
      <c r="B1046" s="1">
        <f t="shared" si="39"/>
        <v>12</v>
      </c>
      <c r="C1046" s="1">
        <f t="shared" si="30"/>
        <v>0</v>
      </c>
      <c r="D1046" s="1">
        <f>C410</f>
        <v>0</v>
      </c>
      <c r="E1046" s="13">
        <f>L410</f>
        <v>0</v>
      </c>
      <c r="F1046" s="4">
        <f>L413</f>
        <v>0</v>
      </c>
      <c r="G1046" s="4">
        <f t="shared" si="76"/>
        <v>0</v>
      </c>
      <c r="H1046" s="6">
        <f>IF(F413="",($I413-$C413)*0.01,($I413-$F413)*0.01)</f>
        <v>0</v>
      </c>
      <c r="I1046" s="6">
        <f>IF(K415=R$1011,S$1011,IF(K415=R$1012,S$1012,IF(K415=R$1013,S$1013,IF(K415=R$1014,S$1014,IF(K415=R$1015,S$1015,IF(K415=R$1016,S$1016,IF(K415="",0)))))))</f>
        <v>0</v>
      </c>
      <c r="J1046" s="6">
        <f t="shared" si="40"/>
        <v>0</v>
      </c>
      <c r="K1046" s="5">
        <f>(J1046+I$1046)/2-H1046</f>
        <v>0</v>
      </c>
      <c r="L1046" s="3">
        <f t="shared" si="41"/>
        <v>0</v>
      </c>
      <c r="M1046" s="1" t="str">
        <f t="shared" si="42"/>
        <v/>
      </c>
      <c r="N1046" s="1">
        <f>IF(C410=$H$1011,L1046,0)</f>
        <v>0</v>
      </c>
      <c r="O1046" s="10">
        <f t="shared" si="31"/>
        <v>0</v>
      </c>
      <c r="P1046" s="1">
        <f>IF(C410=$H$1012,L1046,0)</f>
        <v>0</v>
      </c>
      <c r="Q1046" s="10">
        <f t="shared" si="32"/>
        <v>0</v>
      </c>
      <c r="R1046" s="13">
        <f t="shared" si="43"/>
        <v>0</v>
      </c>
      <c r="S1046" s="1">
        <f t="shared" si="44"/>
        <v>0</v>
      </c>
      <c r="T1046" s="1">
        <f t="shared" si="45"/>
        <v>0</v>
      </c>
      <c r="U1046" s="1">
        <f t="shared" si="46"/>
        <v>0</v>
      </c>
      <c r="W1046" s="4">
        <f>IF($G419=U$1011,W$1011,IF($G419=U$1012,W$1012,IF($G419=U$1013,W$1013,IF($G419=U$1014,W$1014,IF($G419=U$1015,W$1015,IF($G419=U$1016,W$1016,IF($G419="",0)))))))</f>
        <v>0</v>
      </c>
      <c r="X1046" s="1">
        <f>IF($G425=X$1011,Y$1011,IF($G425=X$1012,Y$1012,IF($G425=X$1013,Y$1013,IF($G425=X$1014,Y$1014,IF($G425=X$1015,Y$1015,IF($G425=X$1016,Y$1016,IF($G425="",0)))))))</f>
        <v>0</v>
      </c>
      <c r="Y1046" s="1">
        <f>IF($M425=C$1011,D$1011,IF($M425=C$1012,D$1012,IF($M425=C$1013,D$1013,IF($M425=C$1014,D$1014,IF($M425=C$1015,D$1015,IF($M425=C$1016,D$1016,IF($M425="",0)))))))</f>
        <v>0</v>
      </c>
      <c r="Z1046" s="59">
        <f t="shared" si="47"/>
        <v>0</v>
      </c>
      <c r="AA1046" s="54">
        <f>IF(OR(G425="",M425=""),0,(X1046+Y1046)/2)</f>
        <v>0</v>
      </c>
      <c r="AD1046" s="4">
        <f t="shared" si="72"/>
        <v>0</v>
      </c>
      <c r="AE1046" s="6">
        <f>IF($F430="",$I430-$C430,$I430-$F430)</f>
        <v>0</v>
      </c>
      <c r="AF1046" s="6">
        <f t="shared" si="73"/>
        <v>0</v>
      </c>
      <c r="AG1046" s="6">
        <f>IF($L430=$C$1016,$D$1016,IF($L430=$C$1015,$D$1015,IF($L430=$C$1014,$D$1014,IF($L430=$C$1013,$D$1013,IF($L430=$C$1012,$D$1012,IF($L430=$C$1011,$D$1011,IF($L430="",0)))))))</f>
        <v>0</v>
      </c>
      <c r="AH1046" s="4">
        <f t="shared" si="74"/>
        <v>0</v>
      </c>
      <c r="AJ1046" s="13">
        <f t="shared" si="75"/>
        <v>0</v>
      </c>
      <c r="AM1046" s="116">
        <f>K415</f>
        <v>0</v>
      </c>
      <c r="AN1046" s="6">
        <f>IF(AL413="",($I413-$C413),($I413-$F413))</f>
        <v>0</v>
      </c>
      <c r="AO1046" s="106" t="str">
        <f t="shared" si="48"/>
        <v/>
      </c>
      <c r="AP1046" s="1" t="str">
        <f t="shared" si="49"/>
        <v xml:space="preserve"> so no % reduction. </v>
      </c>
      <c r="AR1046" s="4">
        <f>$G419</f>
        <v>0</v>
      </c>
      <c r="AT1046" s="1">
        <f>$G425</f>
        <v>0</v>
      </c>
      <c r="AV1046" s="1">
        <f>IF($M425=AX1028,AV1028,IF($M425=AX1029,AV1029,IF($M425=AX1030,AV1030,IF($M425=AX1031,AV1031,IF($M425=AX1032,AV1032,IF($M425=AX1033,AV1033,IF($M425="",0)))))))</f>
        <v>0</v>
      </c>
      <c r="AW1046" s="6" t="s">
        <v>3</v>
      </c>
      <c r="AX1046" s="115">
        <f>$L423</f>
        <v>0</v>
      </c>
      <c r="BA1046" s="1" t="str">
        <f>F428</f>
        <v/>
      </c>
      <c r="BB1046" s="4" t="str">
        <f t="shared" si="50"/>
        <v>At the moment, my wellness goal is still evolving.</v>
      </c>
      <c r="BC1046" s="6" t="s">
        <v>3</v>
      </c>
      <c r="BI1046" s="1">
        <f t="shared" si="51"/>
        <v>12</v>
      </c>
      <c r="BJ1046" s="1">
        <f t="shared" si="52"/>
        <v>0</v>
      </c>
      <c r="BL1046" s="1">
        <f>IF(C413="",0,0.1)</f>
        <v>0</v>
      </c>
      <c r="BM1046" s="1">
        <f>IF(AND(F413="",I413=""),0,0.1)</f>
        <v>0</v>
      </c>
      <c r="BN1046" s="1">
        <f>IF(L413="",0,0.1)</f>
        <v>0</v>
      </c>
      <c r="BO1046" s="1">
        <f>IF(K415="",0,0.1)</f>
        <v>0</v>
      </c>
      <c r="BP1046" s="1">
        <f>IF(G419="",0,0.1)</f>
        <v>0</v>
      </c>
      <c r="BQ1046" s="1">
        <f>IF(G425="",0,0.1)</f>
        <v>0</v>
      </c>
      <c r="BR1046" s="1">
        <f>IF(M425="",0,0.1)</f>
        <v>0</v>
      </c>
      <c r="BS1046" s="1">
        <f>IF(C430="",0,0.1)</f>
        <v>0</v>
      </c>
      <c r="BT1046" s="1">
        <f>IF(AND(F430="",I430=""),0,0.1)</f>
        <v>0</v>
      </c>
      <c r="BU1046" s="1">
        <f>IF(L407="",0,0.1)</f>
        <v>0</v>
      </c>
      <c r="BV1046" s="151">
        <f t="shared" si="66"/>
        <v>0</v>
      </c>
      <c r="BW1046" s="161">
        <v>12</v>
      </c>
      <c r="BX1046" s="148">
        <f>C413</f>
        <v>0</v>
      </c>
      <c r="BY1046" s="149">
        <f>IF(I430="",F430,I430)</f>
        <v>0</v>
      </c>
      <c r="BZ1046" s="150">
        <f t="shared" si="53"/>
        <v>0</v>
      </c>
      <c r="CA1046" s="1">
        <f t="shared" si="34"/>
        <v>0</v>
      </c>
      <c r="CB1046" s="1">
        <f t="shared" si="67"/>
        <v>0</v>
      </c>
      <c r="CC1046" s="92">
        <f t="shared" si="54"/>
        <v>14</v>
      </c>
      <c r="CD1046" s="1">
        <f t="shared" si="55"/>
        <v>1</v>
      </c>
      <c r="CE1046" s="1">
        <f t="shared" si="56"/>
        <v>14</v>
      </c>
      <c r="CF1046" s="1">
        <f t="shared" si="57"/>
        <v>1900</v>
      </c>
      <c r="CG1046" s="4" t="str">
        <f t="shared" si="58"/>
        <v>1/14/1900</v>
      </c>
      <c r="CH1046" s="1">
        <f t="shared" si="35"/>
        <v>1</v>
      </c>
      <c r="CI1046" s="1" t="str">
        <f t="shared" si="36"/>
        <v xml:space="preserve">January </v>
      </c>
      <c r="CJ1046" s="1">
        <f t="shared" si="37"/>
        <v>0</v>
      </c>
      <c r="CL1046" s="1" t="s">
        <v>266</v>
      </c>
      <c r="CM1046" s="1">
        <f t="shared" si="38"/>
        <v>1900</v>
      </c>
      <c r="CN1046" s="4" t="str">
        <f t="shared" si="59"/>
        <v/>
      </c>
      <c r="CP1046" s="142" t="str">
        <f>IF(M651=CR$1034,CR1046,IF(M651=CS$1034,CS1046,IF(M651=CT$1034,CT1046,IF(M651=CU$1034,CU1046,IF(M651=CV$1034,CV1046,IF(M651=CW$1034,CW1046,IF(M651=CX$1034,CX1046,IF(M651=CY$1034,CY1046,IF(M651=CZ$1034,CZ1046,IF(M651=DA$1034,DA1046,IF(DB$1034,DB1046,IF(M651="",""))))))))))))</f>
        <v>Congratulations on completing all these steps to engage 0. If you find 0 responsive enough to 'follow' your upcoming wellness campaign, great! Invite 0 when ready.</v>
      </c>
      <c r="CQ1046" s="168">
        <v>12</v>
      </c>
      <c r="CR1046" s="1" t="str">
        <f t="shared" si="68"/>
        <v>You have yet to invite 0 to this warmup wellness exercise. After you send 0 an INVITATION card, meme, or video, be sure to mark the date and proceed with these steps.</v>
      </c>
      <c r="CS1046" s="1" t="str">
        <f t="shared" si="69"/>
        <v>You first invited 0 0, back on . Since 0 days have gone by, use the "follow-up" message template to remind them to share a need.</v>
      </c>
      <c r="CT1046" s="1" t="e" cm="1">
        <f t="array" aca="1" ref="CT1046" ca="1">IF(CC1046&gt;$BX$1034,CONCATENATE($DQ$1037,CG1046,$DS$1037,C1046,$DU$1037),CONCOTENATE($DX$1037,C1046,$DZ$1037,CG1046,$EB$1037))</f>
        <v>#NAME?</v>
      </c>
      <c r="CU1046" s="6" t="str">
        <f t="shared" si="70"/>
        <v>Estimate 0's level of urgency for their expressed need. In the next step, you can ask 0 how meaningful this need was for them. For now, trust your instinct of its urgency.</v>
      </c>
      <c r="CV1046" s="6" t="str">
        <f t="shared" si="71"/>
        <v>Establish your 'responsive rating' by having 0 rate how satisfied with your efforts to serve their need. Use the "rate me" tab to solicit their feedback and check their urgency level.</v>
      </c>
      <c r="CW1046" s="6" t="str">
        <f t="shared" si="60"/>
        <v>So far, you're doing great with 0! With 50% of these steps completed, it's now time to give 0 a need of yours they can now honor. You can use the "PNP" tab for this.</v>
      </c>
      <c r="CX1046" s="6" t="str">
        <f>CONCATENATE($DQ$1041,C1046,$DS$1041)</f>
        <v xml:space="preserve">Now that you know how receptive 0 is to your shared need, check how responsive they are to your need. Your energing 'responsive rating' depends on this reciprocity. </v>
      </c>
      <c r="CY1046" s="6" t="str">
        <f>CONCATENATE($DQ$1042,C1046,$DS$1042)</f>
        <v>If satisfied with 0's level of responsiveness so far, use the "invite" tab to welcome them to follow your upcoming wellness campaign. It also shares their responsive score.</v>
      </c>
      <c r="CZ1046" s="6" t="str">
        <f ca="1">IF($BX$1034&lt;BY1046,CONCATENATE($DQ$1043,DJ1046,$DS$1043,C1046,$DU$1043),CONCATENATE($DX$1043,C1046,$DZ$1043,DJ1046,$EB$1043,C1046,$ED$1043))</f>
        <v>Since you received no response from 0 since 1/14/1900, mark "no reply" as their response level. Emotionally prepare yourself to drop 0 from consideration.</v>
      </c>
      <c r="DA1046" s="6" t="str">
        <f>CONCATENATE($DQ$1044,C1046,$DS$1044,C1046,$DU$1044)</f>
        <v>Like before, 0 may need a gentle reminder to repond to your invitation. Simply send 0 another "invite" tab message with their evolving responsive score.</v>
      </c>
      <c r="DB1046" s="6" t="str">
        <f>CONCATENATE($DQ$1045,C1046,$DS$1045,C1046,$DU$1045,C1046,$DW$1045)</f>
        <v>Congratulations on completing all these steps to engage 0. If you find 0 responsive enough to 'follow' your upcoming wellness campaign, great! Invite 0 when ready.</v>
      </c>
      <c r="DC1046" s="6" t="s">
        <v>3</v>
      </c>
      <c r="DF1046" s="92">
        <f t="shared" si="61"/>
        <v>14</v>
      </c>
      <c r="DG1046" s="1">
        <f t="shared" si="62"/>
        <v>1</v>
      </c>
      <c r="DH1046" s="1">
        <f t="shared" si="63"/>
        <v>14</v>
      </c>
      <c r="DI1046" s="1">
        <f t="shared" si="64"/>
        <v>1900</v>
      </c>
      <c r="DJ1046" s="4" t="str">
        <f t="shared" si="65"/>
        <v>1/14/1900</v>
      </c>
    </row>
    <row r="1047" spans="2:134" ht="13.5" hidden="1" thickBot="1" x14ac:dyDescent="0.35">
      <c r="B1047" s="1">
        <f t="shared" si="39"/>
        <v>13</v>
      </c>
      <c r="C1047" s="1">
        <f t="shared" si="30"/>
        <v>0</v>
      </c>
      <c r="D1047" s="1">
        <f>C434</f>
        <v>0</v>
      </c>
      <c r="E1047" s="13">
        <f>L434</f>
        <v>0</v>
      </c>
      <c r="F1047" s="4">
        <f>L437</f>
        <v>0</v>
      </c>
      <c r="G1047" s="4">
        <f t="shared" si="76"/>
        <v>0</v>
      </c>
      <c r="H1047" s="6">
        <f>IF(F437="",($I437-$C437)*0.01,($I437-$F437)*0.01)</f>
        <v>0</v>
      </c>
      <c r="I1047" s="6">
        <f>IF(K439=R$1011,S$1011,IF(K439=R$1012,S$1012,IF(K439=R$1013,S$1013,IF(K439=R$1014,S$1014,IF(K439=R$1015,S$1015,IF(K439=R$1016,S$1016,IF(K439="",0)))))))</f>
        <v>0</v>
      </c>
      <c r="J1047" s="6">
        <f t="shared" si="40"/>
        <v>0</v>
      </c>
      <c r="K1047" s="5">
        <f>(J1047+I$1047)/2-H1047</f>
        <v>0</v>
      </c>
      <c r="L1047" s="3">
        <f t="shared" si="41"/>
        <v>0</v>
      </c>
      <c r="M1047" s="1" t="str">
        <f t="shared" si="42"/>
        <v/>
      </c>
      <c r="N1047" s="1">
        <f>IF(C434=$H$1011,L1047,0)</f>
        <v>0</v>
      </c>
      <c r="O1047" s="10">
        <f t="shared" si="31"/>
        <v>0</v>
      </c>
      <c r="P1047" s="1">
        <f>IF(C434=$H$1012,L1047,0)</f>
        <v>0</v>
      </c>
      <c r="Q1047" s="10">
        <f t="shared" si="32"/>
        <v>0</v>
      </c>
      <c r="R1047" s="13">
        <f t="shared" si="43"/>
        <v>0</v>
      </c>
      <c r="S1047" s="1">
        <f t="shared" si="44"/>
        <v>0</v>
      </c>
      <c r="T1047" s="1">
        <f t="shared" si="45"/>
        <v>0</v>
      </c>
      <c r="U1047" s="1">
        <f t="shared" si="46"/>
        <v>0</v>
      </c>
      <c r="W1047" s="4">
        <f>IF($G443=U$1011,W$1011,IF($G443=U$1012,W$1012,IF($G443=U$1013,W$1013,IF($G443=U$1014,W$1014,IF($G443=U$1015,W$1015,IF($G443=U$1016,W$1016,IF($G443="",0)))))))</f>
        <v>0</v>
      </c>
      <c r="X1047" s="1">
        <f>IF($G449=X$1011,Y$1011,IF($G449=X$1012,Y$1012,IF($G449=X$1013,Y$1013,IF($G449=X$1014,Y$1014,IF($G449=X$1015,Y$1015,IF($G449=X$1016,Y$1016,IF($G449="",0)))))))</f>
        <v>0</v>
      </c>
      <c r="Y1047" s="1">
        <f>IF($M449=C$1011,D$1011,IF($M449=C$1012,D$1012,IF($M449=C$1013,D$1013,IF($M449=C$1014,D$1014,IF($M449=C$1015,D$1015,IF($M449=C$1016,D$1016,IF($M449="",0)))))))</f>
        <v>0</v>
      </c>
      <c r="Z1047" s="59">
        <f t="shared" si="47"/>
        <v>0</v>
      </c>
      <c r="AA1047" s="54">
        <f>IF(OR(G449="",M449=""),0,(X1047+Y1047)/2)</f>
        <v>0</v>
      </c>
      <c r="AD1047" s="4">
        <f t="shared" si="72"/>
        <v>0</v>
      </c>
      <c r="AE1047" s="6">
        <f>IF($F454="",$I454-$C454,$I454-$F454)</f>
        <v>0</v>
      </c>
      <c r="AF1047" s="6">
        <f t="shared" si="73"/>
        <v>0</v>
      </c>
      <c r="AG1047" s="6">
        <f>IF($L454=$C$1016,$D$1016,IF($L454=$C$1015,$D$1015,IF($L454=$C$1014,$D$1014,IF($L454=$C$1013,$D$1013,IF($L454=$C$1012,$D$1012,IF($L454=$C$1011,$D$1011,IF($L454="",0)))))))</f>
        <v>0</v>
      </c>
      <c r="AH1047" s="4">
        <f t="shared" si="74"/>
        <v>0</v>
      </c>
      <c r="AJ1047" s="13">
        <f t="shared" si="75"/>
        <v>0</v>
      </c>
      <c r="AM1047" s="116">
        <f>K439</f>
        <v>0</v>
      </c>
      <c r="AN1047" s="6">
        <f>IF(AL437="",($I437-$C437),($I437-$F437))</f>
        <v>0</v>
      </c>
      <c r="AO1047" s="106" t="str">
        <f t="shared" si="48"/>
        <v/>
      </c>
      <c r="AP1047" s="1" t="str">
        <f t="shared" si="49"/>
        <v xml:space="preserve"> so no % reduction. </v>
      </c>
      <c r="AR1047" s="4">
        <f>$G443</f>
        <v>0</v>
      </c>
      <c r="AT1047" s="1">
        <f>$G449</f>
        <v>0</v>
      </c>
      <c r="AV1047" s="1">
        <f>IF($M449=AX1028,AV1028,IF($M449=AX1029,AV1029,IF($M449=AX1030,AV1030,IF($M449=AX1031,AV1031,IF($M449=AX1032,AV1032,IF($M449=AX1033,AV1033,IF($M449="",0)))))))</f>
        <v>0</v>
      </c>
      <c r="AW1047" s="6" t="s">
        <v>3</v>
      </c>
      <c r="AX1047" s="115">
        <f>$L447</f>
        <v>0</v>
      </c>
      <c r="BA1047" s="1" t="str">
        <f>F452</f>
        <v/>
      </c>
      <c r="BB1047" s="4" t="str">
        <f t="shared" si="50"/>
        <v>At the moment, my wellness goal is still evolving.</v>
      </c>
      <c r="BC1047" s="6" t="s">
        <v>3</v>
      </c>
      <c r="BI1047" s="1">
        <f t="shared" si="51"/>
        <v>13</v>
      </c>
      <c r="BJ1047" s="1">
        <f t="shared" si="52"/>
        <v>0</v>
      </c>
      <c r="BL1047" s="1">
        <f>IF(C437="",0,0.1)</f>
        <v>0</v>
      </c>
      <c r="BM1047" s="1">
        <f>IF(AND(F437="",I437=""),0,0.1)</f>
        <v>0</v>
      </c>
      <c r="BN1047" s="1">
        <f>IF(L437="",0,0.1)</f>
        <v>0</v>
      </c>
      <c r="BO1047" s="1">
        <f>IF(K439="",0,0.1)</f>
        <v>0</v>
      </c>
      <c r="BP1047" s="1">
        <f>IF(G443="",0,0.1)</f>
        <v>0</v>
      </c>
      <c r="BQ1047" s="1">
        <f>IF(G449="",0,0.1)</f>
        <v>0</v>
      </c>
      <c r="BR1047" s="1">
        <f>IF(M449="",0,0.1)</f>
        <v>0</v>
      </c>
      <c r="BS1047" s="1">
        <f>IF(C431="",0,0.1)</f>
        <v>0</v>
      </c>
      <c r="BT1047" s="1">
        <f>IF(AND(F454="",I454=""),0,0.1)</f>
        <v>0</v>
      </c>
      <c r="BU1047" s="1">
        <f>IF(L454="",0,0.1)</f>
        <v>0</v>
      </c>
      <c r="BV1047" s="151">
        <f t="shared" si="66"/>
        <v>0</v>
      </c>
      <c r="BW1047" s="161">
        <v>13</v>
      </c>
      <c r="BX1047" s="148">
        <f>C437</f>
        <v>0</v>
      </c>
      <c r="BY1047" s="149">
        <f>IF(I454="",F454,I454)</f>
        <v>0</v>
      </c>
      <c r="BZ1047" s="150">
        <f t="shared" si="53"/>
        <v>0</v>
      </c>
      <c r="CA1047" s="1">
        <f t="shared" si="34"/>
        <v>0</v>
      </c>
      <c r="CB1047" s="1">
        <f t="shared" si="67"/>
        <v>0</v>
      </c>
      <c r="CC1047" s="92">
        <f t="shared" si="54"/>
        <v>14</v>
      </c>
      <c r="CD1047" s="1">
        <f t="shared" si="55"/>
        <v>1</v>
      </c>
      <c r="CE1047" s="1">
        <f t="shared" si="56"/>
        <v>14</v>
      </c>
      <c r="CF1047" s="1">
        <f t="shared" si="57"/>
        <v>1900</v>
      </c>
      <c r="CG1047" s="4" t="str">
        <f t="shared" si="58"/>
        <v>1/14/1900</v>
      </c>
      <c r="CH1047" s="1">
        <f t="shared" si="35"/>
        <v>1</v>
      </c>
      <c r="CI1047" s="1" t="str">
        <f t="shared" si="36"/>
        <v xml:space="preserve">January </v>
      </c>
      <c r="CJ1047" s="1">
        <f t="shared" si="37"/>
        <v>0</v>
      </c>
      <c r="CL1047" s="1" t="s">
        <v>266</v>
      </c>
      <c r="CM1047" s="1">
        <f t="shared" si="38"/>
        <v>1900</v>
      </c>
      <c r="CN1047" s="4" t="str">
        <f t="shared" si="59"/>
        <v/>
      </c>
      <c r="CP1047" s="142" t="str">
        <f>IF(M653=CR$1034,CR1047,IF(M653=CS$1034,CS1047,IF(M653=CT$1034,CT1047,IF(M653=CU$1034,CU1047,IF(M653=CV$1034,CV1047,IF(M653=CW$1034,CW1047,IF(M653=CX$1034,CX1047,IF(M653=CY$1034,CY1047,IF(M653=CZ$1034,CZ1047,IF(M653=DA$1034,DA1047,IF(DB$1034,DB1047,IF(M653="",""))))))))))))</f>
        <v>Congratulations on completing all these steps to engage 0. If you find 0 responsive enough to 'follow' your upcoming wellness campaign, great! Invite 0 when ready.</v>
      </c>
      <c r="CQ1047" s="168">
        <v>13</v>
      </c>
      <c r="CR1047" s="1" t="str">
        <f t="shared" si="68"/>
        <v>You have yet to invite 0 to this warmup wellness exercise. After you send 0 an INVITATION card, meme, or video, be sure to mark the date and proceed with these steps.</v>
      </c>
      <c r="CS1047" s="1" t="str">
        <f t="shared" si="69"/>
        <v>You first invited 0 0, back on . Since 0 days have gone by, use the "follow-up" message template to remind them to share a need.</v>
      </c>
      <c r="CT1047" s="1" t="e" cm="1">
        <f t="array" aca="1" ref="CT1047" ca="1">IF(CC1047&gt;$BX$1034,CONCATENATE($DQ$1037,CG1047,$DS$1037,C1047,$DU$1037),CONCOTENATE($DX$1037,C1047,$DZ$1037,CG1047,$EB$1037))</f>
        <v>#NAME?</v>
      </c>
      <c r="CU1047" s="6" t="str">
        <f t="shared" si="70"/>
        <v>Estimate 0's level of urgency for their expressed need. In the next step, you can ask 0 how meaningful this need was for them. For now, trust your instinct of its urgency.</v>
      </c>
      <c r="CV1047" s="6" t="str">
        <f t="shared" si="71"/>
        <v>Establish your 'responsive rating' by having 0 rate how satisfied with your efforts to serve their need. Use the "rate me" tab to solicit their feedback and check their urgency level.</v>
      </c>
      <c r="CW1047" s="6" t="str">
        <f t="shared" si="60"/>
        <v>So far, you're doing great with 0! With 50% of these steps completed, it's now time to give 0 a need of yours they can now honor. You can use the "PNP" tab for this.</v>
      </c>
      <c r="CX1047" s="6" t="str">
        <f>CONCATENATE($DQ$1041,C1047,$DS$1041)</f>
        <v xml:space="preserve">Now that you know how receptive 0 is to your shared need, check how responsive they are to your need. Your energing 'responsive rating' depends on this reciprocity. </v>
      </c>
      <c r="CY1047" s="6" t="str">
        <f>CONCATENATE($DQ$1042,C1047,$DS$1042)</f>
        <v>If satisfied with 0's level of responsiveness so far, use the "invite" tab to welcome them to follow your upcoming wellness campaign. It also shares their responsive score.</v>
      </c>
      <c r="CZ1047" s="6" t="str">
        <f ca="1">IF($BX$1034&lt;BY1047,CONCATENATE($DQ$1043,DJ1047,$DS$1043,C1047,$DU$1043),CONCATENATE($DX$1043,C1047,$DZ$1043,DJ1047,$EB$1043,C1047,$ED$1043))</f>
        <v>Since you received no response from 0 since 1/14/1900, mark "no reply" as their response level. Emotionally prepare yourself to drop 0 from consideration.</v>
      </c>
      <c r="DA1047" s="6" t="str">
        <f>CONCATENATE($DQ$1044,C1047,$DS$1044,C1047,$DU$1044)</f>
        <v>Like before, 0 may need a gentle reminder to repond to your invitation. Simply send 0 another "invite" tab message with their evolving responsive score.</v>
      </c>
      <c r="DB1047" s="6" t="str">
        <f>CONCATENATE($DQ$1045,C1047,$DS$1045,C1047,$DU$1045,C1047,$DW$1045)</f>
        <v>Congratulations on completing all these steps to engage 0. If you find 0 responsive enough to 'follow' your upcoming wellness campaign, great! Invite 0 when ready.</v>
      </c>
      <c r="DC1047" s="6" t="s">
        <v>3</v>
      </c>
      <c r="DF1047" s="92">
        <f t="shared" si="61"/>
        <v>14</v>
      </c>
      <c r="DG1047" s="1">
        <f t="shared" si="62"/>
        <v>1</v>
      </c>
      <c r="DH1047" s="1">
        <f t="shared" si="63"/>
        <v>14</v>
      </c>
      <c r="DI1047" s="1">
        <f t="shared" si="64"/>
        <v>1900</v>
      </c>
      <c r="DJ1047" s="4" t="str">
        <f t="shared" si="65"/>
        <v>1/14/1900</v>
      </c>
    </row>
    <row r="1048" spans="2:134" ht="13.5" hidden="1" thickBot="1" x14ac:dyDescent="0.35">
      <c r="B1048" s="1">
        <f t="shared" si="39"/>
        <v>14</v>
      </c>
      <c r="C1048" s="1">
        <f t="shared" si="30"/>
        <v>0</v>
      </c>
      <c r="D1048" s="1">
        <f>C458</f>
        <v>0</v>
      </c>
      <c r="E1048" s="13">
        <f>L458</f>
        <v>0</v>
      </c>
      <c r="F1048" s="4">
        <f>L461</f>
        <v>0</v>
      </c>
      <c r="G1048" s="4">
        <f t="shared" si="76"/>
        <v>0</v>
      </c>
      <c r="H1048" s="6">
        <f>IF(F461="",($I461-$C461)*0.01,($I461-$F461)*0.01)</f>
        <v>0</v>
      </c>
      <c r="I1048" s="6">
        <f>IF(K463=R$1011,S$1011,IF(K463=R$1012,S$1012,IF(K463=R$1013,S$1013,IF(K463=R$1014,S$1014,IF(K463=R$1015,S$1015,IF(K463=R$1016,S$1016,IF(K463="",0)))))))</f>
        <v>0</v>
      </c>
      <c r="J1048" s="6">
        <f t="shared" si="40"/>
        <v>0</v>
      </c>
      <c r="K1048" s="5">
        <f>(J1048+I$1048)/2-H1048</f>
        <v>0</v>
      </c>
      <c r="L1048" s="3">
        <f t="shared" si="41"/>
        <v>0</v>
      </c>
      <c r="M1048" s="1" t="str">
        <f t="shared" si="42"/>
        <v/>
      </c>
      <c r="N1048" s="1">
        <f>IF(C458=$H$1011,L1048,0)</f>
        <v>0</v>
      </c>
      <c r="O1048" s="10">
        <f t="shared" si="31"/>
        <v>0</v>
      </c>
      <c r="P1048" s="1">
        <f>IF(C458=$H$1012,L1048,0)</f>
        <v>0</v>
      </c>
      <c r="Q1048" s="10">
        <f t="shared" si="32"/>
        <v>0</v>
      </c>
      <c r="R1048" s="13">
        <f t="shared" si="43"/>
        <v>0</v>
      </c>
      <c r="S1048" s="1">
        <f t="shared" si="44"/>
        <v>0</v>
      </c>
      <c r="T1048" s="1">
        <f t="shared" si="45"/>
        <v>0</v>
      </c>
      <c r="U1048" s="1">
        <f t="shared" si="46"/>
        <v>0</v>
      </c>
      <c r="W1048" s="4">
        <f>IF($G467=U$1011,W$1011,IF($G467=U$1012,W$1012,IF($G467=U$1013,W$1013,IF($G467=U$1014,W$1014,IF($G467=U$1015,W$1015,IF($G467=U$1016,W$1016,IF($G467="",0)))))))</f>
        <v>0</v>
      </c>
      <c r="X1048" s="1">
        <f>IF($G473=X$1011,Y$1011,IF($G473=X$1012,Y$1012,IF($G473=X$1013,Y$1013,IF($G473=X$1014,Y$1014,IF($G473=X$1015,Y$1015,IF($G473=X$1016,Y$1016,IF($G473="",0)))))))</f>
        <v>0</v>
      </c>
      <c r="Y1048" s="1">
        <f>IF($M473=C$1011,D$1011,IF($M473=C$1012,D$1012,IF($M473=C$1013,D$1013,IF($M473=C$1014,D$1014,IF($M473=C$1015,D$1015,IF($M473=C$1016,D$1016,IF($M473="",0)))))))</f>
        <v>0</v>
      </c>
      <c r="Z1048" s="59">
        <f t="shared" si="47"/>
        <v>0</v>
      </c>
      <c r="AA1048" s="54">
        <f>IF(OR(G473="",M473=""),0,(X1048+Y1048)/2)</f>
        <v>0</v>
      </c>
      <c r="AD1048" s="4">
        <f t="shared" si="72"/>
        <v>0</v>
      </c>
      <c r="AE1048" s="6">
        <f>IF($F478="",$I478-$C478,$I478-$F478)</f>
        <v>0</v>
      </c>
      <c r="AF1048" s="6">
        <f t="shared" si="73"/>
        <v>0</v>
      </c>
      <c r="AG1048" s="6">
        <f>IF($L478=$C$1016,$D$1016,IF($L478=$C$1015,$D$1015,IF($L478=$C$1014,$D$1014,IF($L478=$C$1013,$D$1013,IF($L478=$C$1012,$D$1012,IF($L478=$C$1011,$D$1011,IF($L478="",0)))))))</f>
        <v>0</v>
      </c>
      <c r="AH1048" s="4">
        <f t="shared" si="74"/>
        <v>0</v>
      </c>
      <c r="AJ1048" s="13">
        <f t="shared" si="75"/>
        <v>0</v>
      </c>
      <c r="AM1048" s="116">
        <f>K463</f>
        <v>0</v>
      </c>
      <c r="AN1048" s="6">
        <f>IF(AL461="",($I461-$C461),($I461-$F461))</f>
        <v>0</v>
      </c>
      <c r="AO1048" s="106" t="str">
        <f t="shared" si="48"/>
        <v/>
      </c>
      <c r="AP1048" s="1" t="str">
        <f t="shared" si="49"/>
        <v xml:space="preserve"> so no % reduction. </v>
      </c>
      <c r="AR1048" s="4">
        <f>$G467</f>
        <v>0</v>
      </c>
      <c r="AT1048" s="1">
        <f>$G473</f>
        <v>0</v>
      </c>
      <c r="AV1048" s="1">
        <f>IF($M473=AX1028,AV1028,IF($M473=AX1029,AV1029,IF($M473=AX1030,AV1030,IF($M473=AX1031,AV1031,IF($M473=AX1032,AV1032,IF($M473=AX1033,AV1033,IF($M473="",0)))))))</f>
        <v>0</v>
      </c>
      <c r="AW1048" s="6" t="s">
        <v>3</v>
      </c>
      <c r="AX1048" s="115">
        <f>$L471</f>
        <v>0</v>
      </c>
      <c r="BA1048" s="1" t="str">
        <f>F476</f>
        <v/>
      </c>
      <c r="BB1048" s="4" t="str">
        <f t="shared" si="50"/>
        <v>At the moment, my wellness goal is still evolving.</v>
      </c>
      <c r="BC1048" s="6" t="s">
        <v>3</v>
      </c>
      <c r="BI1048" s="1">
        <f t="shared" si="51"/>
        <v>14</v>
      </c>
      <c r="BJ1048" s="1">
        <f t="shared" si="52"/>
        <v>0</v>
      </c>
      <c r="BL1048" s="1">
        <f>IF(C461="",0,0.1)</f>
        <v>0</v>
      </c>
      <c r="BM1048" s="1">
        <f>IF(AND(F461="",I461=""),0,0.1)</f>
        <v>0</v>
      </c>
      <c r="BN1048" s="1">
        <f>IF(L461="",0,0.1)</f>
        <v>0</v>
      </c>
      <c r="BO1048" s="1">
        <f>IF(K463="",0,0.1)</f>
        <v>0</v>
      </c>
      <c r="BP1048" s="1">
        <f>IF(G467="",0,0.1)</f>
        <v>0</v>
      </c>
      <c r="BQ1048" s="1">
        <f>IF(G473="",0,0.1)</f>
        <v>0</v>
      </c>
      <c r="BR1048" s="1">
        <f>IF(M473="",0,0.1)</f>
        <v>0</v>
      </c>
      <c r="BS1048" s="1">
        <f>IF(C478="",0,0.1)</f>
        <v>0</v>
      </c>
      <c r="BT1048" s="1">
        <f>IF(AND(F478="",I478=""),0,0.1)</f>
        <v>0</v>
      </c>
      <c r="BU1048" s="1">
        <f>IF(L478="",0,0.1)</f>
        <v>0</v>
      </c>
      <c r="BV1048" s="151">
        <f t="shared" si="66"/>
        <v>0</v>
      </c>
      <c r="BW1048" s="161">
        <v>14</v>
      </c>
      <c r="BX1048" s="148">
        <f>C461</f>
        <v>0</v>
      </c>
      <c r="BY1048" s="149">
        <f>IF(I478="",F478,I478)</f>
        <v>0</v>
      </c>
      <c r="BZ1048" s="150">
        <f t="shared" si="53"/>
        <v>0</v>
      </c>
      <c r="CA1048" s="1">
        <f t="shared" si="34"/>
        <v>0</v>
      </c>
      <c r="CB1048" s="1">
        <f t="shared" si="67"/>
        <v>0</v>
      </c>
      <c r="CC1048" s="92">
        <f t="shared" si="54"/>
        <v>14</v>
      </c>
      <c r="CD1048" s="1">
        <f t="shared" si="55"/>
        <v>1</v>
      </c>
      <c r="CE1048" s="1">
        <f t="shared" si="56"/>
        <v>14</v>
      </c>
      <c r="CF1048" s="1">
        <f t="shared" si="57"/>
        <v>1900</v>
      </c>
      <c r="CG1048" s="4" t="str">
        <f t="shared" si="58"/>
        <v>1/14/1900</v>
      </c>
      <c r="CH1048" s="1">
        <f t="shared" si="35"/>
        <v>1</v>
      </c>
      <c r="CI1048" s="1" t="str">
        <f t="shared" si="36"/>
        <v xml:space="preserve">January </v>
      </c>
      <c r="CJ1048" s="1">
        <f t="shared" si="37"/>
        <v>0</v>
      </c>
      <c r="CL1048" s="1" t="s">
        <v>266</v>
      </c>
      <c r="CM1048" s="1">
        <f t="shared" si="38"/>
        <v>1900</v>
      </c>
      <c r="CN1048" s="4" t="str">
        <f t="shared" si="59"/>
        <v/>
      </c>
      <c r="CP1048" s="142" t="str">
        <f>IF(M655=CR$1034,CR1048,IF(M655=CS$1034,CS1048,IF(M655=CT$1034,CT1048,IF(M655=CU$1034,CU1048,IF(M655=CV$1034,CV1048,IF(M655=CW$1034,CW1048,IF(M655=CX$1034,CX1048,IF(M655=CY$1034,CY1048,IF(M655=CZ$1034,CZ1048,IF(M655=DA$1034,DA1048,IF(DB$1034,DB1048,IF(M655="",""))))))))))))</f>
        <v>Congratulations on completing all these steps to engage 0. If you find 0 responsive enough to 'follow' your upcoming wellness campaign, great! Invite 0 when ready.</v>
      </c>
      <c r="CQ1048" s="168">
        <v>14</v>
      </c>
      <c r="CR1048" s="1" t="str">
        <f t="shared" si="68"/>
        <v>You have yet to invite 0 to this warmup wellness exercise. After you send 0 an INVITATION card, meme, or video, be sure to mark the date and proceed with these steps.</v>
      </c>
      <c r="CS1048" s="1" t="str">
        <f t="shared" si="69"/>
        <v>You first invited 0 0, back on . Since 0 days have gone by, use the "follow-up" message template to remind them to share a need.</v>
      </c>
      <c r="CT1048" s="1" t="e" cm="1">
        <f t="array" aca="1" ref="CT1048" ca="1">IF(CC1048&gt;$BX$1034,CONCATENATE($DQ$1037,CG1048,$DS$1037,C1048,$DU$1037),CONCOTENATE($DX$1037,C1048,$DZ$1037,CG1048,$EB$1037))</f>
        <v>#NAME?</v>
      </c>
      <c r="CU1048" s="6" t="str">
        <f t="shared" si="70"/>
        <v>Estimate 0's level of urgency for their expressed need. In the next step, you can ask 0 how meaningful this need was for them. For now, trust your instinct of its urgency.</v>
      </c>
      <c r="CV1048" s="6" t="str">
        <f t="shared" si="71"/>
        <v>Establish your 'responsive rating' by having 0 rate how satisfied with your efforts to serve their need. Use the "rate me" tab to solicit their feedback and check their urgency level.</v>
      </c>
      <c r="CW1048" s="6" t="str">
        <f t="shared" si="60"/>
        <v>So far, you're doing great with 0! With 50% of these steps completed, it's now time to give 0 a need of yours they can now honor. You can use the "PNP" tab for this.</v>
      </c>
      <c r="CX1048" s="6" t="str">
        <f>CONCATENATE($DQ$1041,C1048,$DS$1041)</f>
        <v xml:space="preserve">Now that you know how receptive 0 is to your shared need, check how responsive they are to your need. Your energing 'responsive rating' depends on this reciprocity. </v>
      </c>
      <c r="CY1048" s="6" t="str">
        <f>CONCATENATE($DQ$1042,C1048,$DS$1042)</f>
        <v>If satisfied with 0's level of responsiveness so far, use the "invite" tab to welcome them to follow your upcoming wellness campaign. It also shares their responsive score.</v>
      </c>
      <c r="CZ1048" s="6" t="str">
        <f ca="1">IF($BX$1034&lt;BY1048,CONCATENATE($DQ$1043,DJ1048,$DS$1043,C1048,$DU$1043),CONCATENATE($DX$1043,C1048,$DZ$1043,DJ1048,$EB$1043,C1048,$ED$1043))</f>
        <v>Since you received no response from 0 since 1/14/1900, mark "no reply" as their response level. Emotionally prepare yourself to drop 0 from consideration.</v>
      </c>
      <c r="DA1048" s="6" t="str">
        <f>CONCATENATE($DQ$1044,C1048,$DS$1044,C1048,$DU$1044)</f>
        <v>Like before, 0 may need a gentle reminder to repond to your invitation. Simply send 0 another "invite" tab message with their evolving responsive score.</v>
      </c>
      <c r="DB1048" s="6" t="str">
        <f>CONCATENATE($DQ$1045,C1048,$DS$1045,C1048,$DU$1045,C1048,$DW$1045)</f>
        <v>Congratulations on completing all these steps to engage 0. If you find 0 responsive enough to 'follow' your upcoming wellness campaign, great! Invite 0 when ready.</v>
      </c>
      <c r="DC1048" s="6" t="s">
        <v>3</v>
      </c>
      <c r="DF1048" s="92">
        <f t="shared" si="61"/>
        <v>14</v>
      </c>
      <c r="DG1048" s="1">
        <f t="shared" si="62"/>
        <v>1</v>
      </c>
      <c r="DH1048" s="1">
        <f t="shared" si="63"/>
        <v>14</v>
      </c>
      <c r="DI1048" s="1">
        <f t="shared" si="64"/>
        <v>1900</v>
      </c>
      <c r="DJ1048" s="4" t="str">
        <f t="shared" si="65"/>
        <v>1/14/1900</v>
      </c>
    </row>
    <row r="1049" spans="2:134" ht="13.5" hidden="1" thickBot="1" x14ac:dyDescent="0.35">
      <c r="B1049" s="1">
        <f t="shared" si="39"/>
        <v>15</v>
      </c>
      <c r="C1049" s="1">
        <f t="shared" si="30"/>
        <v>0</v>
      </c>
      <c r="D1049" s="1">
        <f>C482</f>
        <v>0</v>
      </c>
      <c r="E1049" s="13">
        <f>L482</f>
        <v>0</v>
      </c>
      <c r="F1049" s="4">
        <f>L485</f>
        <v>0</v>
      </c>
      <c r="G1049" s="4">
        <f t="shared" si="76"/>
        <v>0</v>
      </c>
      <c r="H1049" s="6">
        <f>IF(F485="",($I485-$C485)*0.01,($I485-$F485)*0.01)</f>
        <v>0</v>
      </c>
      <c r="I1049" s="6">
        <f>IF(K487=R$1011,S$1011,IF(K487=R$1012,S$1012,IF(K487=R$1013,S$1013,IF(K487=R$1014,S$1014,IF(K487=R$1015,S$1015,IF(K487=R$1016,S$1016,IF(K487="",0)))))))</f>
        <v>0</v>
      </c>
      <c r="J1049" s="6">
        <f t="shared" si="40"/>
        <v>0</v>
      </c>
      <c r="K1049" s="5">
        <f>(J1049+I$1049)/2-H1049</f>
        <v>0</v>
      </c>
      <c r="L1049" s="3">
        <f t="shared" si="41"/>
        <v>0</v>
      </c>
      <c r="M1049" s="1" t="str">
        <f t="shared" si="42"/>
        <v/>
      </c>
      <c r="N1049" s="1">
        <f>IF(C482=$H$1011,L1049,0)</f>
        <v>0</v>
      </c>
      <c r="O1049" s="10">
        <f t="shared" si="31"/>
        <v>0</v>
      </c>
      <c r="P1049" s="1">
        <f>IF(C482=$H$1012,L1049,0)</f>
        <v>0</v>
      </c>
      <c r="Q1049" s="10">
        <f t="shared" si="32"/>
        <v>0</v>
      </c>
      <c r="R1049" s="13">
        <f t="shared" si="43"/>
        <v>0</v>
      </c>
      <c r="S1049" s="1">
        <f t="shared" si="44"/>
        <v>0</v>
      </c>
      <c r="T1049" s="1">
        <f t="shared" si="45"/>
        <v>0</v>
      </c>
      <c r="U1049" s="1">
        <f t="shared" si="46"/>
        <v>0</v>
      </c>
      <c r="W1049" s="4">
        <f>IF($G491=U$1011,W$1011,IF($G491=U$1012,W$1012,IF($G491=U$1013,W$1013,IF($G491=U$1014,W$1014,IF($G491=U$1015,W$1015,IF($G491=U$1016,W$1016,IF($G491="",0)))))))</f>
        <v>0</v>
      </c>
      <c r="X1049" s="1">
        <f>IF($G497=X$1011,Y$1011,IF($G497=X$1012,Y$1012,IF($G497=X$1013,Y$1013,IF($G497=X$1014,Y$1014,IF($G497=X$1015,Y$1015,IF($G497=X$1016,Y$1016,IF($G497="",0)))))))</f>
        <v>0</v>
      </c>
      <c r="Y1049" s="1">
        <f>IF($M497=C$1011,D$1011,IF($M497=C$1012,D$1012,IF($M497=C$1013,D$1013,IF($M497=C$1014,D$1014,IF($M497=C$1015,D$1015,IF($M497=C$1016,D$1016,IF($M497="",0)))))))</f>
        <v>0</v>
      </c>
      <c r="Z1049" s="59">
        <f t="shared" si="47"/>
        <v>0</v>
      </c>
      <c r="AA1049" s="54">
        <f>IF(OR(G497="",M497=""),0,(X1049+Y1049)/2)</f>
        <v>0</v>
      </c>
      <c r="AD1049" s="4">
        <f t="shared" si="72"/>
        <v>0</v>
      </c>
      <c r="AE1049" s="6">
        <f>IF($F502="",$I502-$C502,$I502-$F502)</f>
        <v>0</v>
      </c>
      <c r="AF1049" s="6">
        <f t="shared" si="73"/>
        <v>0</v>
      </c>
      <c r="AG1049" s="6">
        <f>IF($L502=$C$1016,$D$1016,IF($L502=$C$1015,$D$1015,IF($L502=$C$1014,$D$1014,IF($L502=$C$1013,$D$1013,IF($L502=$C$1012,$D$1012,IF($L502=$C$1011,$D$1011,IF($L502="",0)))))))</f>
        <v>0</v>
      </c>
      <c r="AH1049" s="4">
        <f t="shared" si="74"/>
        <v>0</v>
      </c>
      <c r="AJ1049" s="13">
        <f t="shared" si="75"/>
        <v>0</v>
      </c>
      <c r="AM1049" s="116">
        <f>K487</f>
        <v>0</v>
      </c>
      <c r="AN1049" s="6">
        <f>IF(AL485="",($I485-$C485),($I485-$F485))</f>
        <v>0</v>
      </c>
      <c r="AO1049" s="106" t="str">
        <f t="shared" si="48"/>
        <v/>
      </c>
      <c r="AP1049" s="1" t="str">
        <f t="shared" si="49"/>
        <v xml:space="preserve"> so no % reduction. </v>
      </c>
      <c r="AR1049" s="4">
        <f>$G491</f>
        <v>0</v>
      </c>
      <c r="AT1049" s="1">
        <f>$G497</f>
        <v>0</v>
      </c>
      <c r="AV1049" s="1">
        <f>IF($M497=AX1028,AV1028,IF($M497=AX1029,AV1029,IF($M497=AX1030,AV1030,IF($M497=AX1031,AV1031,IF($M497=AX1032,AV1032,IF($M497=AX1033,AV1033,IF($M497="",0)))))))</f>
        <v>0</v>
      </c>
      <c r="AW1049" s="6" t="s">
        <v>3</v>
      </c>
      <c r="AX1049" s="115">
        <f>$L495</f>
        <v>0</v>
      </c>
      <c r="BA1049" s="1" t="str">
        <f>F500</f>
        <v/>
      </c>
      <c r="BB1049" s="4" t="str">
        <f t="shared" si="50"/>
        <v>At the moment, my wellness goal is still evolving.</v>
      </c>
      <c r="BC1049" s="6" t="s">
        <v>3</v>
      </c>
      <c r="BI1049" s="1">
        <f t="shared" si="51"/>
        <v>15</v>
      </c>
      <c r="BJ1049" s="1">
        <f t="shared" si="52"/>
        <v>0</v>
      </c>
      <c r="BL1049" s="1">
        <f>IF(C485="",0,0.1)</f>
        <v>0</v>
      </c>
      <c r="BM1049" s="1">
        <f>IF(AND(F485="",I485=""),0,0.1)</f>
        <v>0</v>
      </c>
      <c r="BN1049" s="1">
        <f>IF(L485="",0,0.1)</f>
        <v>0</v>
      </c>
      <c r="BO1049" s="1">
        <f>IF(K487="",0,0.1)</f>
        <v>0</v>
      </c>
      <c r="BP1049" s="1">
        <f>IF(G491="",0,0.1)</f>
        <v>0</v>
      </c>
      <c r="BQ1049" s="1">
        <f>IF(G497="",0,0.1)</f>
        <v>0</v>
      </c>
      <c r="BR1049" s="1">
        <f>IF(M497="",0,0.1)</f>
        <v>0</v>
      </c>
      <c r="BS1049" s="1">
        <f>IF(C502="",0,0.1)</f>
        <v>0</v>
      </c>
      <c r="BT1049" s="1">
        <f>IF(AND(F502="",I502=""),0,0.1)</f>
        <v>0</v>
      </c>
      <c r="BU1049" s="1">
        <f>IF(L502="",0,0.1)</f>
        <v>0</v>
      </c>
      <c r="BV1049" s="151">
        <f t="shared" si="66"/>
        <v>0</v>
      </c>
      <c r="BW1049" s="161">
        <v>15</v>
      </c>
      <c r="BX1049" s="148">
        <f>C485</f>
        <v>0</v>
      </c>
      <c r="BY1049" s="149">
        <f>IF(I502="",F502,I502)</f>
        <v>0</v>
      </c>
      <c r="BZ1049" s="150">
        <f t="shared" si="53"/>
        <v>0</v>
      </c>
      <c r="CA1049" s="1">
        <f t="shared" si="34"/>
        <v>0</v>
      </c>
      <c r="CB1049" s="1">
        <f t="shared" si="67"/>
        <v>0</v>
      </c>
      <c r="CC1049" s="92">
        <f t="shared" si="54"/>
        <v>14</v>
      </c>
      <c r="CD1049" s="1">
        <f t="shared" si="55"/>
        <v>1</v>
      </c>
      <c r="CE1049" s="1">
        <f t="shared" si="56"/>
        <v>14</v>
      </c>
      <c r="CF1049" s="1">
        <f t="shared" si="57"/>
        <v>1900</v>
      </c>
      <c r="CG1049" s="4" t="str">
        <f t="shared" si="58"/>
        <v>1/14/1900</v>
      </c>
      <c r="CH1049" s="1">
        <f t="shared" si="35"/>
        <v>1</v>
      </c>
      <c r="CI1049" s="1" t="str">
        <f t="shared" si="36"/>
        <v xml:space="preserve">January </v>
      </c>
      <c r="CJ1049" s="1">
        <f t="shared" si="37"/>
        <v>0</v>
      </c>
      <c r="CL1049" s="1" t="s">
        <v>266</v>
      </c>
      <c r="CM1049" s="1">
        <f t="shared" si="38"/>
        <v>1900</v>
      </c>
      <c r="CN1049" s="4" t="str">
        <f t="shared" si="59"/>
        <v/>
      </c>
      <c r="CP1049" s="142" t="str">
        <f>IF(M657=CR$1034,CR1049,IF(M657=CS$1034,CS1049,IF(M657=CT$1034,CT1049,IF(M657=CU$1034,CU1049,IF(M657=CV$1034,CV1049,IF(M657=CW$1034,CW1049,IF(M657=CX$1034,CX1049,IF(M657=CY$1034,CY1049,IF(M657=CZ$1034,CZ1049,IF(M657=DA$1034,DA1049,IF(DB$1034,DB1049,IF(M657="",""))))))))))))</f>
        <v>Congratulations on completing all these steps to engage 0. If you find 0 responsive enough to 'follow' your upcoming wellness campaign, great! Invite 0 when ready.</v>
      </c>
      <c r="CQ1049" s="168">
        <v>15</v>
      </c>
      <c r="CR1049" s="1" t="str">
        <f t="shared" si="68"/>
        <v>You have yet to invite 0 to this warmup wellness exercise. After you send 0 an INVITATION card, meme, or video, be sure to mark the date and proceed with these steps.</v>
      </c>
      <c r="CS1049" s="1" t="str">
        <f t="shared" si="69"/>
        <v>You first invited 0 0, back on . Since 0 days have gone by, use the "follow-up" message template to remind them to share a need.</v>
      </c>
      <c r="CT1049" s="1" t="e" cm="1">
        <f t="array" aca="1" ref="CT1049" ca="1">IF(CC1049&gt;$BX$1034,CONCATENATE($DQ$1037,CG1049,$DS$1037,C1049,$DU$1037),CONCOTENATE($DX$1037,C1049,$DZ$1037,CG1049,$EB$1037))</f>
        <v>#NAME?</v>
      </c>
      <c r="CU1049" s="6" t="str">
        <f t="shared" si="70"/>
        <v>Estimate 0's level of urgency for their expressed need. In the next step, you can ask 0 how meaningful this need was for them. For now, trust your instinct of its urgency.</v>
      </c>
      <c r="CV1049" s="6" t="str">
        <f t="shared" si="71"/>
        <v>Establish your 'responsive rating' by having 0 rate how satisfied with your efforts to serve their need. Use the "rate me" tab to solicit their feedback and check their urgency level.</v>
      </c>
      <c r="CW1049" s="6" t="str">
        <f t="shared" si="60"/>
        <v>So far, you're doing great with 0! With 50% of these steps completed, it's now time to give 0 a need of yours they can now honor. You can use the "PNP" tab for this.</v>
      </c>
      <c r="CX1049" s="6" t="str">
        <f>CONCATENATE($DQ$1041,C1049,$DS$1041)</f>
        <v xml:space="preserve">Now that you know how receptive 0 is to your shared need, check how responsive they are to your need. Your energing 'responsive rating' depends on this reciprocity. </v>
      </c>
      <c r="CY1049" s="6" t="str">
        <f>CONCATENATE($DQ$1042,C1049,$DS$1042)</f>
        <v>If satisfied with 0's level of responsiveness so far, use the "invite" tab to welcome them to follow your upcoming wellness campaign. It also shares their responsive score.</v>
      </c>
      <c r="CZ1049" s="6" t="str">
        <f ca="1">IF($BX$1034&lt;BY1049,CONCATENATE($DQ$1043,DJ1049,$DS$1043,C1049,$DU$1043),CONCATENATE($DX$1043,C1049,$DZ$1043,DJ1049,$EB$1043,C1049,$ED$1043))</f>
        <v>Since you received no response from 0 since 1/14/1900, mark "no reply" as their response level. Emotionally prepare yourself to drop 0 from consideration.</v>
      </c>
      <c r="DA1049" s="6" t="str">
        <f>CONCATENATE($DQ$1044,C1049,$DS$1044,C1049,$DU$1044)</f>
        <v>Like before, 0 may need a gentle reminder to repond to your invitation. Simply send 0 another "invite" tab message with their evolving responsive score.</v>
      </c>
      <c r="DB1049" s="6" t="str">
        <f>CONCATENATE($DQ$1045,C1049,$DS$1045,C1049,$DU$1045,C1049,$DW$1045)</f>
        <v>Congratulations on completing all these steps to engage 0. If you find 0 responsive enough to 'follow' your upcoming wellness campaign, great! Invite 0 when ready.</v>
      </c>
      <c r="DC1049" s="6" t="s">
        <v>3</v>
      </c>
      <c r="DF1049" s="92">
        <f t="shared" si="61"/>
        <v>14</v>
      </c>
      <c r="DG1049" s="1">
        <f t="shared" si="62"/>
        <v>1</v>
      </c>
      <c r="DH1049" s="1">
        <f t="shared" si="63"/>
        <v>14</v>
      </c>
      <c r="DI1049" s="1">
        <f t="shared" si="64"/>
        <v>1900</v>
      </c>
      <c r="DJ1049" s="4" t="str">
        <f t="shared" si="65"/>
        <v>1/14/1900</v>
      </c>
    </row>
    <row r="1050" spans="2:134" ht="13.5" hidden="1" thickBot="1" x14ac:dyDescent="0.35">
      <c r="B1050" s="1">
        <f t="shared" si="39"/>
        <v>16</v>
      </c>
      <c r="C1050" s="1">
        <f t="shared" si="30"/>
        <v>0</v>
      </c>
      <c r="D1050" s="1">
        <f>C506</f>
        <v>0</v>
      </c>
      <c r="E1050" s="13">
        <f>L506</f>
        <v>0</v>
      </c>
      <c r="F1050" s="4">
        <f>L509</f>
        <v>0</v>
      </c>
      <c r="G1050" s="4">
        <f t="shared" si="76"/>
        <v>0</v>
      </c>
      <c r="H1050" s="6">
        <f>IF(F509="",($I509-$C509)*0.01,($I509-$F509)*0.01)</f>
        <v>0</v>
      </c>
      <c r="I1050" s="6">
        <f>IF(K511=R$1011,S$1011,IF(K511=R$1012,S$1012,IF(K511=R$1013,S$1013,IF(K511=R$1014,S$1014,IF(K511=R$1015,S$1015,IF(K511=R$1016,S$1016,IF(K511="",0)))))))</f>
        <v>0</v>
      </c>
      <c r="J1050" s="6">
        <f t="shared" si="40"/>
        <v>0</v>
      </c>
      <c r="K1050" s="5">
        <f>(J1050+I$1050)/2-H1050</f>
        <v>0</v>
      </c>
      <c r="L1050" s="3">
        <f t="shared" si="41"/>
        <v>0</v>
      </c>
      <c r="M1050" s="1" t="str">
        <f t="shared" si="42"/>
        <v/>
      </c>
      <c r="N1050" s="1">
        <f>IF(C506=$H$1011,L1050,0)</f>
        <v>0</v>
      </c>
      <c r="O1050" s="10">
        <f t="shared" si="31"/>
        <v>0</v>
      </c>
      <c r="P1050" s="1">
        <f>IF(C506=$H$1012,L1050,0)</f>
        <v>0</v>
      </c>
      <c r="Q1050" s="10">
        <f t="shared" si="32"/>
        <v>0</v>
      </c>
      <c r="R1050" s="13">
        <f t="shared" si="43"/>
        <v>0</v>
      </c>
      <c r="S1050" s="1">
        <f t="shared" si="44"/>
        <v>0</v>
      </c>
      <c r="T1050" s="1">
        <f t="shared" si="45"/>
        <v>0</v>
      </c>
      <c r="U1050" s="1">
        <f t="shared" si="46"/>
        <v>0</v>
      </c>
      <c r="W1050" s="4">
        <f>IF($G515=U$1011,W$1011,IF($G515=U$1012,W$1012,IF($G515=U$1013,W$1013,IF($G515=U$1014,W$1014,IF($G515=U$1015,W$1015,IF($G515=U$1016,W$1016,IF($G515="",0)))))))</f>
        <v>0</v>
      </c>
      <c r="X1050" s="1">
        <f>IF($G521=X$1011,Y$1011,IF($G521=X$1012,Y$1012,IF($G521=X$1013,Y$1013,IF($G521=X$1014,Y$1014,IF($G521=X$1015,Y$1015,IF($G521=X$1016,Y$1016,IF($G521="",0)))))))</f>
        <v>0</v>
      </c>
      <c r="Y1050" s="1">
        <f>IF($M521=C$1011,D$1011,IF($M521=C$1012,D$1012,IF($M521=C$1013,D$1013,IF($M521=C$1014,D$1014,IF($M521=C$1015,D$1015,IF($M521=C$1016,D$1016,IF($M521="",0)))))))</f>
        <v>0</v>
      </c>
      <c r="Z1050" s="59">
        <f t="shared" si="47"/>
        <v>0</v>
      </c>
      <c r="AA1050" s="54">
        <f>IF(OR(G521="",M521=""),0,(X1050+Y1050)/2)</f>
        <v>0</v>
      </c>
      <c r="AD1050" s="4">
        <f t="shared" si="72"/>
        <v>0</v>
      </c>
      <c r="AE1050" s="6">
        <f>IF($F526="",$I526-$C526,$I526-$F526)</f>
        <v>0</v>
      </c>
      <c r="AF1050" s="6">
        <f t="shared" si="73"/>
        <v>0</v>
      </c>
      <c r="AG1050" s="6">
        <f>IF($L526=$C$1016,$D$1016,IF($L526=$C$1015,$D$1015,IF($L526=$C$1014,$D$1014,IF($L526=$C$1013,$D$1013,IF($L526=$C$1012,$D$1012,IF($L526=$C$1011,$D$1011,IF($L526="",0)))))))</f>
        <v>0</v>
      </c>
      <c r="AH1050" s="4">
        <f t="shared" si="74"/>
        <v>0</v>
      </c>
      <c r="AJ1050" s="13">
        <f t="shared" si="75"/>
        <v>0</v>
      </c>
      <c r="AM1050" s="116">
        <f>K511</f>
        <v>0</v>
      </c>
      <c r="AN1050" s="6">
        <f>IF(AL509="",($I509-$C509),($I509-$F509))</f>
        <v>0</v>
      </c>
      <c r="AO1050" s="106" t="str">
        <f t="shared" si="48"/>
        <v/>
      </c>
      <c r="AP1050" s="1" t="str">
        <f t="shared" si="49"/>
        <v xml:space="preserve"> so no % reduction. </v>
      </c>
      <c r="AR1050" s="4">
        <f>$G515</f>
        <v>0</v>
      </c>
      <c r="AT1050" s="1">
        <f>$G521</f>
        <v>0</v>
      </c>
      <c r="AV1050" s="1">
        <f>IF($M521=AX1028,AV1028,IF($M521=AX1029,AV1029,IF($M521=AX1030,AV1030,IF($M521=AX1031,AV1031,IF($M521=AX1032,AV1032,IF($M521=AX1033,AV1033,IF($M521="",0)))))))</f>
        <v>0</v>
      </c>
      <c r="AW1050" s="6" t="s">
        <v>3</v>
      </c>
      <c r="AX1050" s="115">
        <f>$L519</f>
        <v>0</v>
      </c>
      <c r="BA1050" s="1" t="str">
        <f>F524</f>
        <v/>
      </c>
      <c r="BB1050" s="4" t="str">
        <f t="shared" si="50"/>
        <v>At the moment, my wellness goal is still evolving.</v>
      </c>
      <c r="BC1050" s="6" t="s">
        <v>3</v>
      </c>
      <c r="BI1050" s="1">
        <f t="shared" si="51"/>
        <v>16</v>
      </c>
      <c r="BJ1050" s="1">
        <f t="shared" si="52"/>
        <v>0</v>
      </c>
      <c r="BL1050" s="1">
        <f>IF(C509="",0,0.1)</f>
        <v>0</v>
      </c>
      <c r="BM1050" s="1">
        <f>IF(AND(F509="",I509=""),0,0.1)</f>
        <v>0</v>
      </c>
      <c r="BN1050" s="1">
        <f>IF(L509="",0,0.1)</f>
        <v>0</v>
      </c>
      <c r="BO1050" s="1">
        <f>IF(K511="",0,0.1)</f>
        <v>0</v>
      </c>
      <c r="BP1050" s="1">
        <f>IF(G515="",0,0.1)</f>
        <v>0</v>
      </c>
      <c r="BQ1050" s="1">
        <f>IF(G521="",0,0.1)</f>
        <v>0</v>
      </c>
      <c r="BR1050" s="1">
        <f>IF(M521="",0,0.1)</f>
        <v>0</v>
      </c>
      <c r="BS1050" s="1">
        <f>IF(C526="",0,0.1)</f>
        <v>0</v>
      </c>
      <c r="BT1050" s="1">
        <f>IF(AND(F526="",I526=""),0,0.1)</f>
        <v>0</v>
      </c>
      <c r="BU1050" s="1">
        <f>IF(L526="",0,0.1)</f>
        <v>0</v>
      </c>
      <c r="BV1050" s="151">
        <f t="shared" si="66"/>
        <v>0</v>
      </c>
      <c r="BW1050" s="161">
        <v>16</v>
      </c>
      <c r="BX1050" s="148">
        <f>C509</f>
        <v>0</v>
      </c>
      <c r="BY1050" s="149">
        <f>IF(I526="",F526,I526)</f>
        <v>0</v>
      </c>
      <c r="BZ1050" s="150">
        <f t="shared" si="53"/>
        <v>0</v>
      </c>
      <c r="CA1050" s="1">
        <f t="shared" si="34"/>
        <v>0</v>
      </c>
      <c r="CB1050" s="1">
        <f t="shared" si="67"/>
        <v>0</v>
      </c>
      <c r="CC1050" s="92">
        <f t="shared" si="54"/>
        <v>14</v>
      </c>
      <c r="CD1050" s="1">
        <f t="shared" si="55"/>
        <v>1</v>
      </c>
      <c r="CE1050" s="1">
        <f t="shared" si="56"/>
        <v>14</v>
      </c>
      <c r="CF1050" s="1">
        <f t="shared" si="57"/>
        <v>1900</v>
      </c>
      <c r="CG1050" s="4" t="str">
        <f t="shared" si="58"/>
        <v>1/14/1900</v>
      </c>
      <c r="CH1050" s="1">
        <f t="shared" si="35"/>
        <v>1</v>
      </c>
      <c r="CI1050" s="1" t="str">
        <f t="shared" si="36"/>
        <v xml:space="preserve">January </v>
      </c>
      <c r="CJ1050" s="1">
        <f t="shared" si="37"/>
        <v>0</v>
      </c>
      <c r="CL1050" s="1" t="s">
        <v>266</v>
      </c>
      <c r="CM1050" s="1">
        <f t="shared" si="38"/>
        <v>1900</v>
      </c>
      <c r="CN1050" s="4" t="str">
        <f t="shared" si="59"/>
        <v/>
      </c>
      <c r="CP1050" s="142" t="str">
        <f>IF(M659=CR$1034,CR1050,IF(M659=CS$1034,CS1050,IF(M659=CT$1034,CT1050,IF(M659=CU$1034,CU1050,IF(M659=CV$1034,CV1050,IF(M659=CW$1034,CW1050,IF(M659=CX$1034,CX1050,IF(M659=CY$1034,CY1050,IF(M659=CZ$1034,CZ1050,IF(M659=DA$1034,DA1050,IF(DB$1034,DB1050,IF(M659="",""))))))))))))</f>
        <v>Congratulations on completing all these steps to engage 0. If you find 0 responsive enough to 'follow' your upcoming wellness campaign, great! Invite 0 when ready.</v>
      </c>
      <c r="CQ1050" s="168">
        <v>16</v>
      </c>
      <c r="CR1050" s="1" t="str">
        <f t="shared" si="68"/>
        <v>You have yet to invite 0 to this warmup wellness exercise. After you send 0 an INVITATION card, meme, or video, be sure to mark the date and proceed with these steps.</v>
      </c>
      <c r="CS1050" s="1" t="str">
        <f t="shared" si="69"/>
        <v>You first invited 0 0, back on . Since 0 days have gone by, use the "follow-up" message template to remind them to share a need.</v>
      </c>
      <c r="CT1050" s="1" t="e" cm="1">
        <f t="array" aca="1" ref="CT1050" ca="1">IF(CC1050&gt;$BX$1034,CONCATENATE($DQ$1037,CG1050,$DS$1037,C1050,$DU$1037),CONCOTENATE($DX$1037,C1050,$DZ$1037,CG1050,$EB$1037))</f>
        <v>#NAME?</v>
      </c>
      <c r="CU1050" s="6" t="str">
        <f t="shared" si="70"/>
        <v>Estimate 0's level of urgency for their expressed need. In the next step, you can ask 0 how meaningful this need was for them. For now, trust your instinct of its urgency.</v>
      </c>
      <c r="CV1050" s="6" t="str">
        <f t="shared" si="71"/>
        <v>Establish your 'responsive rating' by having 0 rate how satisfied with your efforts to serve their need. Use the "rate me" tab to solicit their feedback and check their urgency level.</v>
      </c>
      <c r="CW1050" s="6" t="str">
        <f t="shared" si="60"/>
        <v>So far, you're doing great with 0! With 50% of these steps completed, it's now time to give 0 a need of yours they can now honor. You can use the "PNP" tab for this.</v>
      </c>
      <c r="CX1050" s="6" t="str">
        <f>CONCATENATE($DQ$1041,C1050,$DS$1041)</f>
        <v xml:space="preserve">Now that you know how receptive 0 is to your shared need, check how responsive they are to your need. Your energing 'responsive rating' depends on this reciprocity. </v>
      </c>
      <c r="CY1050" s="6" t="str">
        <f>CONCATENATE($DQ$1042,C1050,$DS$1042)</f>
        <v>If satisfied with 0's level of responsiveness so far, use the "invite" tab to welcome them to follow your upcoming wellness campaign. It also shares their responsive score.</v>
      </c>
      <c r="CZ1050" s="6" t="str">
        <f ca="1">IF($BX$1034&lt;BY1050,CONCATENATE($DQ$1043,DJ1050,$DS$1043,C1050,$DU$1043),CONCATENATE($DX$1043,C1050,$DZ$1043,DJ1050,$EB$1043,C1050,$ED$1043))</f>
        <v>Since you received no response from 0 since 1/14/1900, mark "no reply" as their response level. Emotionally prepare yourself to drop 0 from consideration.</v>
      </c>
      <c r="DA1050" s="6" t="str">
        <f>CONCATENATE($DQ$1044,C1050,$DS$1044,C1050,$DU$1044)</f>
        <v>Like before, 0 may need a gentle reminder to repond to your invitation. Simply send 0 another "invite" tab message with their evolving responsive score.</v>
      </c>
      <c r="DB1050" s="6" t="str">
        <f>CONCATENATE($DQ$1045,C1050,$DS$1045,C1050,$DU$1045,C1050,$DW$1045)</f>
        <v>Congratulations on completing all these steps to engage 0. If you find 0 responsive enough to 'follow' your upcoming wellness campaign, great! Invite 0 when ready.</v>
      </c>
      <c r="DC1050" s="6" t="s">
        <v>3</v>
      </c>
      <c r="DF1050" s="92">
        <f t="shared" si="61"/>
        <v>14</v>
      </c>
      <c r="DG1050" s="1">
        <f t="shared" si="62"/>
        <v>1</v>
      </c>
      <c r="DH1050" s="1">
        <f t="shared" si="63"/>
        <v>14</v>
      </c>
      <c r="DI1050" s="1">
        <f t="shared" si="64"/>
        <v>1900</v>
      </c>
      <c r="DJ1050" s="4" t="str">
        <f t="shared" si="65"/>
        <v>1/14/1900</v>
      </c>
    </row>
    <row r="1051" spans="2:134" ht="13.5" hidden="1" thickBot="1" x14ac:dyDescent="0.35">
      <c r="B1051" s="1">
        <f t="shared" si="39"/>
        <v>17</v>
      </c>
      <c r="C1051" s="1">
        <f t="shared" si="30"/>
        <v>0</v>
      </c>
      <c r="D1051" s="1">
        <f>C530</f>
        <v>0</v>
      </c>
      <c r="E1051" s="13">
        <f>L530</f>
        <v>0</v>
      </c>
      <c r="F1051" s="4">
        <f>L533</f>
        <v>0</v>
      </c>
      <c r="G1051" s="4">
        <f t="shared" si="76"/>
        <v>0</v>
      </c>
      <c r="H1051" s="6">
        <f>IF(F533="",($I533-$C533)*0.01,($I533-$F533)*0.01)</f>
        <v>0</v>
      </c>
      <c r="I1051" s="6">
        <f>IF(K535=R$1011,S$1011,IF(K535=R$1012,S$1012,IF(K535=R$1013,S$1013,IF(K535=R$1014,S$1014,IF(K535=R$1015,S$1015,IF(K535=R$1016,S$1016,IF(K535="",0)))))))</f>
        <v>0</v>
      </c>
      <c r="J1051" s="6">
        <f t="shared" si="40"/>
        <v>0</v>
      </c>
      <c r="K1051" s="5">
        <f>(J1051+I$1051)/2-H1051</f>
        <v>0</v>
      </c>
      <c r="L1051" s="3">
        <f t="shared" si="41"/>
        <v>0</v>
      </c>
      <c r="M1051" s="1" t="str">
        <f t="shared" si="42"/>
        <v/>
      </c>
      <c r="N1051" s="1">
        <f>IF(C530=$H$1011,L1051,0)</f>
        <v>0</v>
      </c>
      <c r="O1051" s="10">
        <f t="shared" si="31"/>
        <v>0</v>
      </c>
      <c r="P1051" s="1">
        <f>IF(C530=$H$1012,L1051,0)</f>
        <v>0</v>
      </c>
      <c r="Q1051" s="10">
        <f t="shared" si="32"/>
        <v>0</v>
      </c>
      <c r="R1051" s="13">
        <f t="shared" si="43"/>
        <v>0</v>
      </c>
      <c r="S1051" s="1">
        <f t="shared" si="44"/>
        <v>0</v>
      </c>
      <c r="T1051" s="1">
        <f t="shared" si="45"/>
        <v>0</v>
      </c>
      <c r="U1051" s="1">
        <f t="shared" si="46"/>
        <v>0</v>
      </c>
      <c r="W1051" s="4">
        <f>IF($G539=U$1011,W$1011,IF($G539=U$1012,W$1012,IF($G539=U$1013,W$1013,IF($G539=U$1014,W$1014,IF($G539=U$1015,W$1015,IF($G539=U$1016,W$1016,IF($G539="",0)))))))</f>
        <v>0</v>
      </c>
      <c r="X1051" s="1">
        <f>IF($G545=X$1011,Y$1011,IF($G545=X$1012,Y$1012,IF($G545=X$1013,Y$1013,IF($G545=X$1014,Y$1014,IF($G545=X$1015,Y$1015,IF($G545=X$1016,Y$1016,IF($G545="",0)))))))</f>
        <v>0</v>
      </c>
      <c r="Y1051" s="1">
        <f>IF($M545=C$1011,D$1011,IF($M545=C$1012,D$1012,IF($M545=C$1013,D$1013,IF($M545=C$1014,D$1014,IF($M545=C$1015,D$1015,IF($M545=C$1016,D$1016,IF($M545="",0)))))))</f>
        <v>0</v>
      </c>
      <c r="Z1051" s="59">
        <f t="shared" si="47"/>
        <v>0</v>
      </c>
      <c r="AA1051" s="54">
        <f>IF(OR(G545="",M545=""),0,(X1051+Y1051)/2)</f>
        <v>0</v>
      </c>
      <c r="AD1051" s="4">
        <f t="shared" si="72"/>
        <v>0</v>
      </c>
      <c r="AE1051" s="6">
        <f>IF($F550="",$I550-$C550,$I550-$F550)</f>
        <v>0</v>
      </c>
      <c r="AF1051" s="6">
        <f t="shared" si="73"/>
        <v>0</v>
      </c>
      <c r="AG1051" s="6">
        <f>IF($L550=$C$1016,$D$1016,IF($L550=$C$1015,$D$1015,IF($L550=$C$1014,$D$1014,IF($L550=$C$1013,$D$1013,IF($L550=$C$1012,$D$1012,IF($L550=$C$1011,$D$1011,IF($L550="",0)))))))</f>
        <v>0</v>
      </c>
      <c r="AH1051" s="4">
        <f t="shared" si="74"/>
        <v>0</v>
      </c>
      <c r="AJ1051" s="13">
        <f t="shared" si="75"/>
        <v>0</v>
      </c>
      <c r="AM1051" s="116">
        <f>K535</f>
        <v>0</v>
      </c>
      <c r="AN1051" s="6">
        <f>IF(AL533="",($I533-$C533),($I533-$F533))</f>
        <v>0</v>
      </c>
      <c r="AO1051" s="106" t="str">
        <f t="shared" si="48"/>
        <v/>
      </c>
      <c r="AP1051" s="1" t="str">
        <f t="shared" si="49"/>
        <v xml:space="preserve"> so no % reduction. </v>
      </c>
      <c r="AR1051" s="4">
        <f>$G539</f>
        <v>0</v>
      </c>
      <c r="AT1051" s="1">
        <f>$G545</f>
        <v>0</v>
      </c>
      <c r="AV1051" s="1">
        <f>IF($M545=AX1028,AV1028,IF($M545=AX1029,AV1029,IF($M545=AX1030,AV1030,IF($M545=AX1031,AV1031,IF($M545=AX1032,AV1032,IF($M545=AX1033,AV1033,IF($M545="",0)))))))</f>
        <v>0</v>
      </c>
      <c r="AW1051" s="6" t="s">
        <v>3</v>
      </c>
      <c r="AX1051" s="115">
        <f>$L543</f>
        <v>0</v>
      </c>
      <c r="BA1051" s="1" t="str">
        <f>F548</f>
        <v/>
      </c>
      <c r="BB1051" s="4" t="str">
        <f t="shared" si="50"/>
        <v>At the moment, my wellness goal is still evolving.</v>
      </c>
      <c r="BC1051" s="6" t="s">
        <v>3</v>
      </c>
      <c r="BI1051" s="1">
        <f t="shared" si="51"/>
        <v>17</v>
      </c>
      <c r="BJ1051" s="1">
        <f t="shared" si="52"/>
        <v>0</v>
      </c>
      <c r="BL1051" s="1">
        <f>IF(C533="",0,0.1)</f>
        <v>0</v>
      </c>
      <c r="BM1051" s="1">
        <f>IF(AND(F533="",I533=""),0,0.1)</f>
        <v>0</v>
      </c>
      <c r="BN1051" s="1">
        <f>IF(L533="",0,0.1)</f>
        <v>0</v>
      </c>
      <c r="BO1051" s="1">
        <f>IF(K535="",0,0.1)</f>
        <v>0</v>
      </c>
      <c r="BP1051" s="1">
        <f>IF(G539="",0,0.1)</f>
        <v>0</v>
      </c>
      <c r="BQ1051" s="1">
        <f>IF(G545="",0,0.1)</f>
        <v>0</v>
      </c>
      <c r="BR1051" s="1">
        <f>IF(M545="",0,0.1)</f>
        <v>0</v>
      </c>
      <c r="BS1051" s="1">
        <f>IF(C550="",0,0.1)</f>
        <v>0</v>
      </c>
      <c r="BT1051" s="1">
        <f>IF(AND(F550="",I550=""),0,0.1)</f>
        <v>0</v>
      </c>
      <c r="BU1051" s="1">
        <f>IF(L550="",0,0.1)</f>
        <v>0</v>
      </c>
      <c r="BV1051" s="151">
        <f t="shared" si="66"/>
        <v>0</v>
      </c>
      <c r="BW1051" s="161">
        <v>17</v>
      </c>
      <c r="BX1051" s="148">
        <f>C533</f>
        <v>0</v>
      </c>
      <c r="BY1051" s="149">
        <f>IF(I550="",F550,I550)</f>
        <v>0</v>
      </c>
      <c r="BZ1051" s="150">
        <f t="shared" si="53"/>
        <v>0</v>
      </c>
      <c r="CA1051" s="1">
        <f t="shared" si="34"/>
        <v>0</v>
      </c>
      <c r="CB1051" s="1">
        <f t="shared" si="67"/>
        <v>0</v>
      </c>
      <c r="CC1051" s="92">
        <f t="shared" si="54"/>
        <v>14</v>
      </c>
      <c r="CD1051" s="1">
        <f t="shared" si="55"/>
        <v>1</v>
      </c>
      <c r="CE1051" s="1">
        <f t="shared" si="56"/>
        <v>14</v>
      </c>
      <c r="CF1051" s="1">
        <f t="shared" si="57"/>
        <v>1900</v>
      </c>
      <c r="CG1051" s="4" t="str">
        <f t="shared" si="58"/>
        <v>1/14/1900</v>
      </c>
      <c r="CH1051" s="1">
        <f t="shared" si="35"/>
        <v>1</v>
      </c>
      <c r="CI1051" s="1" t="str">
        <f t="shared" si="36"/>
        <v xml:space="preserve">January </v>
      </c>
      <c r="CJ1051" s="1">
        <f t="shared" si="37"/>
        <v>0</v>
      </c>
      <c r="CL1051" s="1" t="s">
        <v>266</v>
      </c>
      <c r="CM1051" s="1">
        <f t="shared" si="38"/>
        <v>1900</v>
      </c>
      <c r="CN1051" s="4" t="str">
        <f t="shared" si="59"/>
        <v/>
      </c>
      <c r="CP1051" s="142" t="str">
        <f>IF(M661=CR$1034,CR1051,IF(M661=CS$1034,CS1051,IF(M661=CT$1034,CT1051,IF(M661=CU$1034,CU1051,IF(M661=CV$1034,CV1051,IF(M661=CW$1034,CW1051,IF(M661=CX$1034,CX1051,IF(M661=CY$1034,CY1051,IF(M661=CZ$1034,CZ1051,IF(M661=DA$1034,DA1051,IF(DB$1034,DB1051,IF(M661="",""))))))))))))</f>
        <v>Congratulations on completing all these steps to engage 0. If you find 0 responsive enough to 'follow' your upcoming wellness campaign, great! Invite 0 when ready.</v>
      </c>
      <c r="CQ1051" s="168">
        <v>17</v>
      </c>
      <c r="CR1051" s="1" t="str">
        <f t="shared" si="68"/>
        <v>You have yet to invite 0 to this warmup wellness exercise. After you send 0 an INVITATION card, meme, or video, be sure to mark the date and proceed with these steps.</v>
      </c>
      <c r="CS1051" s="1" t="str">
        <f t="shared" si="69"/>
        <v>You first invited 0 0, back on . Since 0 days have gone by, use the "follow-up" message template to remind them to share a need.</v>
      </c>
      <c r="CT1051" s="1" t="e" cm="1">
        <f t="array" aca="1" ref="CT1051" ca="1">IF(CC1051&gt;$BX$1034,CONCATENATE($DQ$1037,CG1051,$DS$1037,C1051,$DU$1037),CONCOTENATE($DX$1037,C1051,$DZ$1037,CG1051,$EB$1037))</f>
        <v>#NAME?</v>
      </c>
      <c r="CU1051" s="6" t="str">
        <f t="shared" si="70"/>
        <v>Estimate 0's level of urgency for their expressed need. In the next step, you can ask 0 how meaningful this need was for them. For now, trust your instinct of its urgency.</v>
      </c>
      <c r="CV1051" s="6" t="str">
        <f t="shared" si="71"/>
        <v>Establish your 'responsive rating' by having 0 rate how satisfied with your efforts to serve their need. Use the "rate me" tab to solicit their feedback and check their urgency level.</v>
      </c>
      <c r="CW1051" s="6" t="str">
        <f t="shared" si="60"/>
        <v>So far, you're doing great with 0! With 50% of these steps completed, it's now time to give 0 a need of yours they can now honor. You can use the "PNP" tab for this.</v>
      </c>
      <c r="CX1051" s="6" t="str">
        <f>CONCATENATE($DQ$1041,C1051,$DS$1041)</f>
        <v xml:space="preserve">Now that you know how receptive 0 is to your shared need, check how responsive they are to your need. Your energing 'responsive rating' depends on this reciprocity. </v>
      </c>
      <c r="CY1051" s="6" t="str">
        <f>CONCATENATE($DQ$1042,C1051,$DS$1042)</f>
        <v>If satisfied with 0's level of responsiveness so far, use the "invite" tab to welcome them to follow your upcoming wellness campaign. It also shares their responsive score.</v>
      </c>
      <c r="CZ1051" s="6" t="str">
        <f ca="1">IF($BX$1034&lt;BY1051,CONCATENATE($DQ$1043,DJ1051,$DS$1043,C1051,$DU$1043),CONCATENATE($DX$1043,C1051,$DZ$1043,DJ1051,$EB$1043,C1051,$ED$1043))</f>
        <v>Since you received no response from 0 since 1/14/1900, mark "no reply" as their response level. Emotionally prepare yourself to drop 0 from consideration.</v>
      </c>
      <c r="DA1051" s="6" t="str">
        <f>CONCATENATE($DQ$1044,C1051,$DS$1044,C1051,$DU$1044)</f>
        <v>Like before, 0 may need a gentle reminder to repond to your invitation. Simply send 0 another "invite" tab message with their evolving responsive score.</v>
      </c>
      <c r="DB1051" s="6" t="str">
        <f>CONCATENATE($DQ$1045,C1051,$DS$1045,C1051,$DU$1045,C1051,$DW$1045)</f>
        <v>Congratulations on completing all these steps to engage 0. If you find 0 responsive enough to 'follow' your upcoming wellness campaign, great! Invite 0 when ready.</v>
      </c>
      <c r="DC1051" s="6" t="s">
        <v>3</v>
      </c>
      <c r="DF1051" s="92">
        <f t="shared" si="61"/>
        <v>14</v>
      </c>
      <c r="DG1051" s="1">
        <f t="shared" si="62"/>
        <v>1</v>
      </c>
      <c r="DH1051" s="1">
        <f t="shared" si="63"/>
        <v>14</v>
      </c>
      <c r="DI1051" s="1">
        <f t="shared" si="64"/>
        <v>1900</v>
      </c>
      <c r="DJ1051" s="4" t="str">
        <f t="shared" si="65"/>
        <v>1/14/1900</v>
      </c>
    </row>
    <row r="1052" spans="2:134" ht="13.5" hidden="1" thickBot="1" x14ac:dyDescent="0.35">
      <c r="B1052" s="1">
        <f t="shared" si="39"/>
        <v>18</v>
      </c>
      <c r="C1052" s="1">
        <f t="shared" si="30"/>
        <v>0</v>
      </c>
      <c r="D1052" s="1">
        <f>C554</f>
        <v>0</v>
      </c>
      <c r="E1052" s="13">
        <f>L554</f>
        <v>0</v>
      </c>
      <c r="F1052" s="4">
        <f>L557</f>
        <v>0</v>
      </c>
      <c r="G1052" s="4">
        <f t="shared" si="76"/>
        <v>0</v>
      </c>
      <c r="H1052" s="6">
        <f>IF(F557="",($I557-$C557)*0.01,($I557-$F557)*0.01)</f>
        <v>0</v>
      </c>
      <c r="I1052" s="6">
        <f>IF(K559=R$1011,S$1011,IF(K559=R$1012,S$1012,IF(K559=R$1013,S$1013,IF(K559=R$1014,S$1014,IF(K559=R$1015,S$1015,IF(K559=R$1016,S$1016,IF(K559="",0)))))))</f>
        <v>0</v>
      </c>
      <c r="J1052" s="6">
        <f t="shared" si="40"/>
        <v>0</v>
      </c>
      <c r="K1052" s="5">
        <f>(J1052+I$1052)/2-H1052</f>
        <v>0</v>
      </c>
      <c r="L1052" s="3">
        <f t="shared" si="41"/>
        <v>0</v>
      </c>
      <c r="M1052" s="1" t="str">
        <f t="shared" si="42"/>
        <v/>
      </c>
      <c r="N1052" s="1">
        <f>IF(C554=$H$1011,L1052,0)</f>
        <v>0</v>
      </c>
      <c r="O1052" s="10">
        <f t="shared" si="31"/>
        <v>0</v>
      </c>
      <c r="P1052" s="1">
        <f>IF(C554=$H$1012,L1052,0)</f>
        <v>0</v>
      </c>
      <c r="Q1052" s="10">
        <f t="shared" si="32"/>
        <v>0</v>
      </c>
      <c r="R1052" s="13">
        <f t="shared" si="43"/>
        <v>0</v>
      </c>
      <c r="S1052" s="1">
        <f t="shared" si="44"/>
        <v>0</v>
      </c>
      <c r="T1052" s="1">
        <f t="shared" si="45"/>
        <v>0</v>
      </c>
      <c r="U1052" s="1">
        <f t="shared" si="46"/>
        <v>0</v>
      </c>
      <c r="W1052" s="4">
        <f>IF($G563=U$1011,W$1011,IF($G563=U$1012,W$1012,IF($G563=U$1013,W$1013,IF($G563=U$1014,W$1014,IF($G563=U$1015,W$1015,IF($G563=U$1016,W$1016,IF($G563="",0)))))))</f>
        <v>0</v>
      </c>
      <c r="X1052" s="1">
        <f>IF($G569=X$1011,Y$1011,IF($G569=X$1012,Y$1012,IF($G569=X$1013,Y$1013,IF($G569=X$1014,Y$1014,IF($G569=X$1015,Y$1015,IF($G569=X$1016,Y$1016,IF($G569="",0)))))))</f>
        <v>0</v>
      </c>
      <c r="Y1052" s="1">
        <f>IF($M569=C$1011,D$1011,IF($M569=C$1012,D$1012,IF($M569=C$1013,D$1013,IF($M569=C$1014,D$1014,IF($M569=C$1015,D$1015,IF($M569=C$1016,D$1016,IF($M569="",0)))))))</f>
        <v>0</v>
      </c>
      <c r="Z1052" s="59">
        <f t="shared" si="47"/>
        <v>0</v>
      </c>
      <c r="AA1052" s="54">
        <f>IF(OR(G569="",M569=""),0,(X1052+Y1052)/2)</f>
        <v>0</v>
      </c>
      <c r="AD1052" s="4">
        <f t="shared" si="72"/>
        <v>0</v>
      </c>
      <c r="AE1052" s="6">
        <f>IF($F574="",$I574-$C574,$I574-$F574)</f>
        <v>0</v>
      </c>
      <c r="AF1052" s="6">
        <f t="shared" si="73"/>
        <v>0</v>
      </c>
      <c r="AG1052" s="6">
        <f>IF($L574=$C$1016,$D$1016,IF($L574=$C$1015,$D$1015,IF($L574=$C$1014,$D$1014,IF($L574=$C$1013,$D$1013,IF($L574=$C$1012,$D$1012,IF($L574=$C$1011,$D$1011,IF($L574="",0)))))))</f>
        <v>0</v>
      </c>
      <c r="AH1052" s="4">
        <f t="shared" si="74"/>
        <v>0</v>
      </c>
      <c r="AJ1052" s="13">
        <f t="shared" si="75"/>
        <v>0</v>
      </c>
      <c r="AM1052" s="116">
        <f>K559</f>
        <v>0</v>
      </c>
      <c r="AN1052" s="6">
        <f>IF(AL557="",($I557-$C557),($I557-$F557))</f>
        <v>0</v>
      </c>
      <c r="AO1052" s="106" t="str">
        <f t="shared" si="48"/>
        <v/>
      </c>
      <c r="AP1052" s="1" t="str">
        <f t="shared" si="49"/>
        <v xml:space="preserve"> so no % reduction. </v>
      </c>
      <c r="AR1052" s="4">
        <f>$G563</f>
        <v>0</v>
      </c>
      <c r="AT1052" s="1">
        <f>$G569</f>
        <v>0</v>
      </c>
      <c r="AV1052" s="1">
        <f>IF($M569=AX1028,AV1028,IF($M569=AX1029,AV1029,IF($M569=AX1030,AV1030,IF($M569=AX1031,AV1031,IF($M569=AX1032,AV1032,IF($M569=AX1033,AV1033,IF($M569="",0)))))))</f>
        <v>0</v>
      </c>
      <c r="AW1052" s="6" t="s">
        <v>3</v>
      </c>
      <c r="AX1052" s="115">
        <f>$L567</f>
        <v>0</v>
      </c>
      <c r="BA1052" s="1" t="str">
        <f>F572</f>
        <v/>
      </c>
      <c r="BB1052" s="4" t="str">
        <f t="shared" si="50"/>
        <v>At the moment, my wellness goal is still evolving.</v>
      </c>
      <c r="BC1052" s="6" t="s">
        <v>3</v>
      </c>
      <c r="BI1052" s="1">
        <f t="shared" si="51"/>
        <v>18</v>
      </c>
      <c r="BJ1052" s="1">
        <f t="shared" si="52"/>
        <v>0</v>
      </c>
      <c r="BL1052" s="1">
        <f>IF(C557="",0,0.1)</f>
        <v>0</v>
      </c>
      <c r="BM1052" s="1">
        <f>IF(AND(F557="",I557=""),0,0.1)</f>
        <v>0</v>
      </c>
      <c r="BN1052" s="1">
        <f>IF(L557="",0,0.1)</f>
        <v>0</v>
      </c>
      <c r="BO1052" s="1">
        <f>IF(K559="",0,0.1)</f>
        <v>0</v>
      </c>
      <c r="BP1052" s="1">
        <f>IF(G563="",0,0.1)</f>
        <v>0</v>
      </c>
      <c r="BQ1052" s="1">
        <f>IF(G569="",0,0.1)</f>
        <v>0</v>
      </c>
      <c r="BR1052" s="1">
        <f>IF(M569="",0,0.1)</f>
        <v>0</v>
      </c>
      <c r="BS1052" s="1">
        <f>IF(C574="",0,0.1)</f>
        <v>0</v>
      </c>
      <c r="BT1052" s="1">
        <f>IF(AND(F574="",I574=""),0,0.1)</f>
        <v>0</v>
      </c>
      <c r="BU1052" s="1">
        <f>IF(L574="",0,0.1)</f>
        <v>0</v>
      </c>
      <c r="BV1052" s="151">
        <f t="shared" si="66"/>
        <v>0</v>
      </c>
      <c r="BW1052" s="161">
        <v>18</v>
      </c>
      <c r="BX1052" s="148">
        <f>C557</f>
        <v>0</v>
      </c>
      <c r="BY1052" s="149">
        <f>IF(I574="",F574,I574)</f>
        <v>0</v>
      </c>
      <c r="BZ1052" s="150">
        <f t="shared" si="53"/>
        <v>0</v>
      </c>
      <c r="CA1052" s="1">
        <f t="shared" si="34"/>
        <v>0</v>
      </c>
      <c r="CB1052" s="1">
        <f t="shared" si="67"/>
        <v>0</v>
      </c>
      <c r="CC1052" s="92">
        <f t="shared" si="54"/>
        <v>14</v>
      </c>
      <c r="CD1052" s="1">
        <f t="shared" si="55"/>
        <v>1</v>
      </c>
      <c r="CE1052" s="1">
        <f t="shared" si="56"/>
        <v>14</v>
      </c>
      <c r="CF1052" s="1">
        <f t="shared" si="57"/>
        <v>1900</v>
      </c>
      <c r="CG1052" s="4" t="str">
        <f t="shared" si="58"/>
        <v>1/14/1900</v>
      </c>
      <c r="CH1052" s="1">
        <f t="shared" si="35"/>
        <v>1</v>
      </c>
      <c r="CI1052" s="1" t="str">
        <f t="shared" si="36"/>
        <v xml:space="preserve">January </v>
      </c>
      <c r="CJ1052" s="1">
        <f t="shared" si="37"/>
        <v>0</v>
      </c>
      <c r="CL1052" s="1" t="s">
        <v>266</v>
      </c>
      <c r="CM1052" s="1">
        <f t="shared" si="38"/>
        <v>1900</v>
      </c>
      <c r="CN1052" s="4" t="str">
        <f t="shared" si="59"/>
        <v/>
      </c>
      <c r="CP1052" s="142" t="str">
        <f>IF(M663=CR$1034,CR1052,IF(M663=CS$1034,CS1052,IF(M663=CT$1034,CT1052,IF(M663=CU$1034,CU1052,IF(M663=CV$1034,CV1052,IF(M663=CW$1034,CW1052,IF(M663=CX$1034,CX1052,IF(M663=CY$1034,CY1052,IF(M663=CZ$1034,CZ1052,IF(M663=DA$1034,DA1052,IF(DB$1034,DB1052,IF(M663="",""))))))))))))</f>
        <v>Congratulations on completing all these steps to engage 0. If you find 0 responsive enough to 'follow' your upcoming wellness campaign, great! Invite 0 when ready.</v>
      </c>
      <c r="CQ1052" s="168">
        <v>18</v>
      </c>
      <c r="CR1052" s="1" t="str">
        <f t="shared" si="68"/>
        <v>You have yet to invite 0 to this warmup wellness exercise. After you send 0 an INVITATION card, meme, or video, be sure to mark the date and proceed with these steps.</v>
      </c>
      <c r="CS1052" s="1" t="str">
        <f t="shared" si="69"/>
        <v>You first invited 0 0, back on . Since 0 days have gone by, use the "follow-up" message template to remind them to share a need.</v>
      </c>
      <c r="CT1052" s="1" t="e" cm="1">
        <f t="array" aca="1" ref="CT1052" ca="1">IF(CC1052&gt;$BX$1034,CONCATENATE($DQ$1037,CG1052,$DS$1037,C1052,$DU$1037),CONCOTENATE($DX$1037,C1052,$DZ$1037,CG1052,$EB$1037))</f>
        <v>#NAME?</v>
      </c>
      <c r="CU1052" s="6" t="str">
        <f t="shared" si="70"/>
        <v>Estimate 0's level of urgency for their expressed need. In the next step, you can ask 0 how meaningful this need was for them. For now, trust your instinct of its urgency.</v>
      </c>
      <c r="CV1052" s="6" t="str">
        <f t="shared" si="71"/>
        <v>Establish your 'responsive rating' by having 0 rate how satisfied with your efforts to serve their need. Use the "rate me" tab to solicit their feedback and check their urgency level.</v>
      </c>
      <c r="CW1052" s="6" t="str">
        <f t="shared" si="60"/>
        <v>So far, you're doing great with 0! With 50% of these steps completed, it's now time to give 0 a need of yours they can now honor. You can use the "PNP" tab for this.</v>
      </c>
      <c r="CX1052" s="6" t="str">
        <f>CONCATENATE($DQ$1041,C1052,$DS$1041)</f>
        <v xml:space="preserve">Now that you know how receptive 0 is to your shared need, check how responsive they are to your need. Your energing 'responsive rating' depends on this reciprocity. </v>
      </c>
      <c r="CY1052" s="6" t="str">
        <f>CONCATENATE($DQ$1042,C1052,$DS$1042)</f>
        <v>If satisfied with 0's level of responsiveness so far, use the "invite" tab to welcome them to follow your upcoming wellness campaign. It also shares their responsive score.</v>
      </c>
      <c r="CZ1052" s="6" t="str">
        <f ca="1">IF($BX$1034&lt;BY1052,CONCATENATE($DQ$1043,DJ1052,$DS$1043,C1052,$DU$1043),CONCATENATE($DX$1043,C1052,$DZ$1043,DJ1052,$EB$1043,C1052,$ED$1043))</f>
        <v>Since you received no response from 0 since 1/14/1900, mark "no reply" as their response level. Emotionally prepare yourself to drop 0 from consideration.</v>
      </c>
      <c r="DA1052" s="6" t="str">
        <f>CONCATENATE($DQ$1044,C1052,$DS$1044,C1052,$DU$1044)</f>
        <v>Like before, 0 may need a gentle reminder to repond to your invitation. Simply send 0 another "invite" tab message with their evolving responsive score.</v>
      </c>
      <c r="DB1052" s="6" t="str">
        <f>CONCATENATE($DQ$1045,C1052,$DS$1045,C1052,$DU$1045,C1052,$DW$1045)</f>
        <v>Congratulations on completing all these steps to engage 0. If you find 0 responsive enough to 'follow' your upcoming wellness campaign, great! Invite 0 when ready.</v>
      </c>
      <c r="DC1052" s="6" t="s">
        <v>3</v>
      </c>
      <c r="DF1052" s="92">
        <f t="shared" si="61"/>
        <v>14</v>
      </c>
      <c r="DG1052" s="1">
        <f t="shared" si="62"/>
        <v>1</v>
      </c>
      <c r="DH1052" s="1">
        <f t="shared" si="63"/>
        <v>14</v>
      </c>
      <c r="DI1052" s="1">
        <f t="shared" si="64"/>
        <v>1900</v>
      </c>
      <c r="DJ1052" s="4" t="str">
        <f t="shared" si="65"/>
        <v>1/14/1900</v>
      </c>
    </row>
    <row r="1053" spans="2:134" ht="13.5" hidden="1" thickBot="1" x14ac:dyDescent="0.35">
      <c r="B1053" s="1">
        <f t="shared" si="39"/>
        <v>19</v>
      </c>
      <c r="C1053" s="1">
        <f t="shared" si="30"/>
        <v>0</v>
      </c>
      <c r="D1053" s="1">
        <f>C578</f>
        <v>0</v>
      </c>
      <c r="E1053" s="13">
        <f>L578</f>
        <v>0</v>
      </c>
      <c r="F1053" s="4">
        <f>L581</f>
        <v>0</v>
      </c>
      <c r="G1053" s="4">
        <f t="shared" si="76"/>
        <v>0</v>
      </c>
      <c r="H1053" s="6">
        <f>IF(F581="",($I581-$C581)*0.01,($I581-$F581)*0.01)</f>
        <v>0</v>
      </c>
      <c r="I1053" s="6">
        <f>IF(K583=R$1011,S$1011,IF(K583=R$1012,S$1012,IF(K583=R$1013,S$1013,IF(K583=R$1014,S$1014,IF(K583=R$1015,S$1015,IF(K583=R$1016,S$1016,IF(K583="",0)))))))</f>
        <v>0</v>
      </c>
      <c r="J1053" s="6">
        <f t="shared" si="40"/>
        <v>0</v>
      </c>
      <c r="K1053" s="5">
        <f>(J1053+I$1053)/2-H1053</f>
        <v>0</v>
      </c>
      <c r="L1053" s="3">
        <f t="shared" si="41"/>
        <v>0</v>
      </c>
      <c r="M1053" s="1" t="str">
        <f t="shared" si="42"/>
        <v/>
      </c>
      <c r="N1053" s="1">
        <f>IF(C578=$H$1011,L1053,0)</f>
        <v>0</v>
      </c>
      <c r="O1053" s="10">
        <f t="shared" si="31"/>
        <v>0</v>
      </c>
      <c r="P1053" s="1">
        <f>IF(C578=$H$1012,L1053,0)</f>
        <v>0</v>
      </c>
      <c r="Q1053" s="10">
        <f t="shared" si="32"/>
        <v>0</v>
      </c>
      <c r="R1053" s="13">
        <f t="shared" si="43"/>
        <v>0</v>
      </c>
      <c r="S1053" s="1">
        <f t="shared" si="44"/>
        <v>0</v>
      </c>
      <c r="T1053" s="1">
        <f t="shared" si="45"/>
        <v>0</v>
      </c>
      <c r="U1053" s="1">
        <f t="shared" si="46"/>
        <v>0</v>
      </c>
      <c r="W1053" s="4">
        <f>IF($G587=U$1011,W$1011,IF($G587=U$1012,W$1012,IF($G587=U$1013,W$1013,IF($G587=U$1014,W$1014,IF($G587=U$1015,W$1015,IF($G587=U$1016,W$1016,IF($G587="",0)))))))</f>
        <v>0</v>
      </c>
      <c r="X1053" s="1">
        <f>IF($G593=X$1011,Y$1011,IF($G593=X$1012,Y$1012,IF($G593=X$1013,Y$1013,IF($G593=X$1014,Y$1014,IF($G593=X$1015,Y$1015,IF($G593=X$1016,Y$1016,IF($G593="",0)))))))</f>
        <v>0</v>
      </c>
      <c r="Y1053" s="1">
        <f>IF($M593=C$1011,D$1011,IF($M593=C$1012,D$1012,IF($M593=C$1013,D$1013,IF($M593=C$1014,D$1014,IF($M593=C$1015,D$1015,IF($M593=C$1016,D$1016,IF($M593="",0)))))))</f>
        <v>0</v>
      </c>
      <c r="Z1053" s="59">
        <f t="shared" si="47"/>
        <v>0</v>
      </c>
      <c r="AA1053" s="54">
        <f>IF(OR(G593="",M593=""),0,(X1053+Y1053)/2)</f>
        <v>0</v>
      </c>
      <c r="AD1053" s="4">
        <f t="shared" si="72"/>
        <v>0</v>
      </c>
      <c r="AE1053" s="6">
        <f>IF($F598="",$I598-$C598,$I598-$F598)</f>
        <v>0</v>
      </c>
      <c r="AF1053" s="6">
        <f t="shared" si="73"/>
        <v>0</v>
      </c>
      <c r="AG1053" s="6">
        <f>IF($L598=$C$1016,$D$1016,IF($L598=$C$1015,$D$1015,IF($L598=$C$1014,$D$1014,IF($L598=$C$1013,$D$1013,IF($L598=$C$1012,$D$1012,IF($L598=$C$1011,$D$1011,IF($L598="",0)))))))</f>
        <v>0</v>
      </c>
      <c r="AH1053" s="4">
        <f t="shared" si="74"/>
        <v>0</v>
      </c>
      <c r="AJ1053" s="13">
        <f t="shared" si="75"/>
        <v>0</v>
      </c>
      <c r="AM1053" s="116">
        <f>K583</f>
        <v>0</v>
      </c>
      <c r="AN1053" s="6">
        <f>IF(AL581="",($I581-$C581),($I581-$F581))</f>
        <v>0</v>
      </c>
      <c r="AO1053" s="106" t="str">
        <f t="shared" si="48"/>
        <v/>
      </c>
      <c r="AP1053" s="1" t="str">
        <f t="shared" si="49"/>
        <v xml:space="preserve"> so no % reduction. </v>
      </c>
      <c r="AR1053" s="4">
        <f>$G587</f>
        <v>0</v>
      </c>
      <c r="AT1053" s="1">
        <f>$G593</f>
        <v>0</v>
      </c>
      <c r="AV1053" s="1">
        <f>IF($M593=AX1028,AV1028,IF($M593=AX1029,AV1029,IF($M593=AX1030,AV1030,IF($M593=AX1031,AV1031,IF($M593=AX1032,AV1032,IF($M593=AX1033,AV1033,IF($M593="",0)))))))</f>
        <v>0</v>
      </c>
      <c r="AW1053" s="6" t="s">
        <v>3</v>
      </c>
      <c r="AX1053" s="115">
        <f>$L591</f>
        <v>0</v>
      </c>
      <c r="BA1053" s="1" t="str">
        <f>F596</f>
        <v/>
      </c>
      <c r="BB1053" s="4" t="str">
        <f t="shared" si="50"/>
        <v>At the moment, my wellness goal is still evolving.</v>
      </c>
      <c r="BC1053" s="6" t="s">
        <v>3</v>
      </c>
      <c r="BI1053" s="1">
        <f t="shared" si="51"/>
        <v>19</v>
      </c>
      <c r="BJ1053" s="1">
        <f t="shared" si="52"/>
        <v>0</v>
      </c>
      <c r="BL1053" s="1">
        <f>IF(C581="",0,0.1)</f>
        <v>0</v>
      </c>
      <c r="BM1053" s="1">
        <f>IF(AND(F581="",I581=""),0,0.1)</f>
        <v>0</v>
      </c>
      <c r="BN1053" s="1">
        <f>IF(L581="",0,0.1)</f>
        <v>0</v>
      </c>
      <c r="BO1053" s="1">
        <f>IF(K583="",0,0.1)</f>
        <v>0</v>
      </c>
      <c r="BP1053" s="1">
        <f>IF(G587="",0,0.1)</f>
        <v>0</v>
      </c>
      <c r="BQ1053" s="1">
        <f>IF(G593="",0,0.1)</f>
        <v>0</v>
      </c>
      <c r="BR1053" s="1">
        <f>IF(M593="",0,0.1)</f>
        <v>0</v>
      </c>
      <c r="BS1053" s="1">
        <f>IF(C598="",0,0.1)</f>
        <v>0</v>
      </c>
      <c r="BT1053" s="1">
        <f>IF(AND(F598="",I598=""),0,0.1)</f>
        <v>0</v>
      </c>
      <c r="BU1053" s="1">
        <f>IF(L598="",0,0.1)</f>
        <v>0</v>
      </c>
      <c r="BV1053" s="151">
        <f t="shared" si="66"/>
        <v>0</v>
      </c>
      <c r="BW1053" s="161">
        <v>19</v>
      </c>
      <c r="BX1053" s="148">
        <f>C581</f>
        <v>0</v>
      </c>
      <c r="BY1053" s="149">
        <f>IF(I598="",F598,I598)</f>
        <v>0</v>
      </c>
      <c r="BZ1053" s="150">
        <f t="shared" si="53"/>
        <v>0</v>
      </c>
      <c r="CA1053" s="1">
        <f t="shared" si="34"/>
        <v>0</v>
      </c>
      <c r="CB1053" s="1">
        <f t="shared" si="67"/>
        <v>0</v>
      </c>
      <c r="CC1053" s="92">
        <f t="shared" si="54"/>
        <v>14</v>
      </c>
      <c r="CD1053" s="1">
        <f t="shared" si="55"/>
        <v>1</v>
      </c>
      <c r="CE1053" s="1">
        <f t="shared" si="56"/>
        <v>14</v>
      </c>
      <c r="CF1053" s="1">
        <f t="shared" si="57"/>
        <v>1900</v>
      </c>
      <c r="CG1053" s="4" t="str">
        <f t="shared" si="58"/>
        <v>1/14/1900</v>
      </c>
      <c r="CH1053" s="1">
        <f t="shared" si="35"/>
        <v>1</v>
      </c>
      <c r="CI1053" s="1" t="str">
        <f t="shared" si="36"/>
        <v xml:space="preserve">January </v>
      </c>
      <c r="CJ1053" s="1">
        <f t="shared" si="37"/>
        <v>0</v>
      </c>
      <c r="CL1053" s="1" t="s">
        <v>266</v>
      </c>
      <c r="CM1053" s="1">
        <f t="shared" si="38"/>
        <v>1900</v>
      </c>
      <c r="CN1053" s="4" t="str">
        <f t="shared" si="59"/>
        <v/>
      </c>
      <c r="CP1053" s="142" t="str">
        <f>IF(M665=CR$1034,CR1053,IF(M665=CS$1034,CS1053,IF(M665=CT$1034,CT1053,IF(M665=CU$1034,CU1053,IF(M665=CV$1034,CV1053,IF(M665=CW$1034,CW1053,IF(M665=CX$1034,CX1053,IF(M665=CY$1034,CY1053,IF(M665=CZ$1034,CZ1053,IF(M665=DA$1034,DA1053,IF(DB$1034,DB1053,IF(M665="",""))))))))))))</f>
        <v>Congratulations on completing all these steps to engage 0. If you find 0 responsive enough to 'follow' your upcoming wellness campaign, great! Invite 0 when ready.</v>
      </c>
      <c r="CQ1053" s="168">
        <v>19</v>
      </c>
      <c r="CR1053" s="1" t="str">
        <f t="shared" si="68"/>
        <v>You have yet to invite 0 to this warmup wellness exercise. After you send 0 an INVITATION card, meme, or video, be sure to mark the date and proceed with these steps.</v>
      </c>
      <c r="CS1053" s="1" t="str">
        <f t="shared" si="69"/>
        <v>You first invited 0 0, back on . Since 0 days have gone by, use the "follow-up" message template to remind them to share a need.</v>
      </c>
      <c r="CT1053" s="1" t="e" cm="1">
        <f t="array" aca="1" ref="CT1053" ca="1">IF(CC1053&gt;$BX$1034,CONCATENATE($DQ$1037,CG1053,$DS$1037,C1053,$DU$1037),CONCOTENATE($DX$1037,C1053,$DZ$1037,CG1053,$EB$1037))</f>
        <v>#NAME?</v>
      </c>
      <c r="CU1053" s="6" t="str">
        <f t="shared" si="70"/>
        <v>Estimate 0's level of urgency for their expressed need. In the next step, you can ask 0 how meaningful this need was for them. For now, trust your instinct of its urgency.</v>
      </c>
      <c r="CV1053" s="6" t="str">
        <f t="shared" si="71"/>
        <v>Establish your 'responsive rating' by having 0 rate how satisfied with your efforts to serve their need. Use the "rate me" tab to solicit their feedback and check their urgency level.</v>
      </c>
      <c r="CW1053" s="6" t="str">
        <f t="shared" si="60"/>
        <v>So far, you're doing great with 0! With 50% of these steps completed, it's now time to give 0 a need of yours they can now honor. You can use the "PNP" tab for this.</v>
      </c>
      <c r="CX1053" s="6" t="str">
        <f>CONCATENATE($DQ$1041,C1053,$DS$1041)</f>
        <v xml:space="preserve">Now that you know how receptive 0 is to your shared need, check how responsive they are to your need. Your energing 'responsive rating' depends on this reciprocity. </v>
      </c>
      <c r="CY1053" s="6" t="str">
        <f>CONCATENATE($DQ$1042,C1053,$DS$1042)</f>
        <v>If satisfied with 0's level of responsiveness so far, use the "invite" tab to welcome them to follow your upcoming wellness campaign. It also shares their responsive score.</v>
      </c>
      <c r="CZ1053" s="6" t="str">
        <f ca="1">IF($BX$1034&lt;BY1053,CONCATENATE($DQ$1043,DJ1053,$DS$1043,C1053,$DU$1043),CONCATENATE($DX$1043,C1053,$DZ$1043,DJ1053,$EB$1043,C1053,$ED$1043))</f>
        <v>Since you received no response from 0 since 1/14/1900, mark "no reply" as their response level. Emotionally prepare yourself to drop 0 from consideration.</v>
      </c>
      <c r="DA1053" s="6" t="str">
        <f>CONCATENATE($DQ$1044,C1053,$DS$1044,C1053,$DU$1044)</f>
        <v>Like before, 0 may need a gentle reminder to repond to your invitation. Simply send 0 another "invite" tab message with their evolving responsive score.</v>
      </c>
      <c r="DB1053" s="6" t="str">
        <f>CONCATENATE($DQ$1045,C1053,$DS$1045,C1053,$DU$1045,C1053,$DW$1045)</f>
        <v>Congratulations on completing all these steps to engage 0. If you find 0 responsive enough to 'follow' your upcoming wellness campaign, great! Invite 0 when ready.</v>
      </c>
      <c r="DC1053" s="6" t="s">
        <v>3</v>
      </c>
      <c r="DF1053" s="92">
        <f t="shared" si="61"/>
        <v>14</v>
      </c>
      <c r="DG1053" s="1">
        <f t="shared" si="62"/>
        <v>1</v>
      </c>
      <c r="DH1053" s="1">
        <f t="shared" si="63"/>
        <v>14</v>
      </c>
      <c r="DI1053" s="1">
        <f t="shared" si="64"/>
        <v>1900</v>
      </c>
      <c r="DJ1053" s="4" t="str">
        <f t="shared" si="65"/>
        <v>1/14/1900</v>
      </c>
    </row>
    <row r="1054" spans="2:134" ht="13.5" hidden="1" thickBot="1" x14ac:dyDescent="0.35">
      <c r="B1054" s="1">
        <f t="shared" si="39"/>
        <v>20</v>
      </c>
      <c r="C1054" s="1">
        <f t="shared" si="30"/>
        <v>0</v>
      </c>
      <c r="D1054" s="1">
        <f>C602</f>
        <v>0</v>
      </c>
      <c r="E1054" s="13">
        <f>L602</f>
        <v>0</v>
      </c>
      <c r="F1054" s="4">
        <f>L605</f>
        <v>0</v>
      </c>
      <c r="G1054" s="4">
        <f t="shared" si="76"/>
        <v>0</v>
      </c>
      <c r="H1054" s="6">
        <f>IF(F605="",($I605-$C605)*0.01,($I605-$F605)*0.01)</f>
        <v>0</v>
      </c>
      <c r="I1054" s="6">
        <f>IF(K607=R$1011,S$1011,IF(K607=R$1012,S$1012,IF(K607=R$1013,S$1013,IF(K607=R$1014,S$1014,IF(K607=R$1015,S$1015,IF(K607=R$1016,S$1016,IF(K607="",0)))))))</f>
        <v>0</v>
      </c>
      <c r="J1054" s="6">
        <f t="shared" si="40"/>
        <v>0</v>
      </c>
      <c r="K1054" s="5">
        <f>(J1054+I$1054)/2-H1054</f>
        <v>0</v>
      </c>
      <c r="L1054" s="3">
        <f t="shared" si="41"/>
        <v>0</v>
      </c>
      <c r="M1054" s="1" t="str">
        <f t="shared" si="42"/>
        <v/>
      </c>
      <c r="N1054" s="1">
        <f>IF(C602=$H$1011,L1054,0)</f>
        <v>0</v>
      </c>
      <c r="O1054" s="10">
        <f t="shared" si="31"/>
        <v>0</v>
      </c>
      <c r="P1054" s="1">
        <f>IF(C602=$H$1012,L1054,0)</f>
        <v>0</v>
      </c>
      <c r="Q1054" s="10">
        <f t="shared" si="32"/>
        <v>0</v>
      </c>
      <c r="R1054" s="13">
        <f t="shared" si="43"/>
        <v>0</v>
      </c>
      <c r="S1054" s="1">
        <f t="shared" si="44"/>
        <v>0</v>
      </c>
      <c r="T1054" s="1">
        <f t="shared" si="45"/>
        <v>0</v>
      </c>
      <c r="U1054" s="1">
        <f t="shared" si="46"/>
        <v>0</v>
      </c>
      <c r="W1054" s="4">
        <f>IF($G611=U$1011,W$1011,IF($G611=U$1012,W$1012,IF($G611=U$1013,W$1013,IF($G611=U$1014,W$1014,IF($G611=U$1015,W$1015,IF($G611=U$1016,W$1016,IF($G611="",0)))))))</f>
        <v>0</v>
      </c>
      <c r="X1054" s="1">
        <f>IF($G617=X$1011,Y$1011,IF($G617=X$1012,Y$1012,IF($G617=X$1013,Y$1013,IF($G617=X$1014,Y$1014,IF($G617=X$1015,Y$1015,IF($G617=X$1016,Y$1016,IF($G617="",0)))))))</f>
        <v>0</v>
      </c>
      <c r="Y1054" s="1">
        <f>IF($M617=C$1011,D$1011,IF($M617=C$1012,D$1012,IF($M617=C$1013,D$1013,IF($M617=C$1014,D$1014,IF($M617=C$1015,D$1015,IF($M617=C$1016,D$1016,IF($M617="",0)))))))</f>
        <v>0</v>
      </c>
      <c r="Z1054" s="59">
        <f t="shared" si="47"/>
        <v>0</v>
      </c>
      <c r="AA1054" s="54">
        <f>IF(OR(G617="",M617=""),0,(X1054+Y1054)/2)</f>
        <v>0</v>
      </c>
      <c r="AD1054" s="4">
        <f t="shared" si="72"/>
        <v>0</v>
      </c>
      <c r="AE1054" s="6">
        <f>IF($F622="",$I622-$C622,$I622-$F622)</f>
        <v>0</v>
      </c>
      <c r="AF1054" s="6">
        <f t="shared" si="73"/>
        <v>0</v>
      </c>
      <c r="AG1054" s="6">
        <f>IF($L622=$C$1016,$D$1016,IF($L622=$C$1015,$D$1015,IF($L622=$C$1014,$D$1014,IF($L622=$C$1013,$D$1013,IF($L622=$C$1012,$D$1012,IF($L622=$C$1011,$D$1011,IF($L622="",0)))))))</f>
        <v>0</v>
      </c>
      <c r="AH1054" s="4">
        <f t="shared" si="74"/>
        <v>0</v>
      </c>
      <c r="AJ1054" s="13">
        <f t="shared" si="75"/>
        <v>0</v>
      </c>
      <c r="AM1054" s="116">
        <f>K607</f>
        <v>0</v>
      </c>
      <c r="AN1054" s="6">
        <f>IF(AL605="",($I605-$C605),($I605-$F605))</f>
        <v>0</v>
      </c>
      <c r="AO1054" s="106" t="str">
        <f t="shared" si="48"/>
        <v/>
      </c>
      <c r="AP1054" s="1" t="str">
        <f t="shared" si="49"/>
        <v xml:space="preserve"> so no % reduction. </v>
      </c>
      <c r="AR1054" s="4">
        <f>$G611</f>
        <v>0</v>
      </c>
      <c r="AT1054" s="1">
        <f>$G617</f>
        <v>0</v>
      </c>
      <c r="AV1054" s="1">
        <f>IF($M617=AX1028,AV1028,IF($M617=AX1029,AV1029,IF($M617=AX1030,AV1030,IF($M617=AX1031,AV1031,IF($M617=AX1032,AV1032,IF($M617=AX1033,AV1033,IF($M617="",0)))))))</f>
        <v>0</v>
      </c>
      <c r="AW1054" s="6" t="s">
        <v>3</v>
      </c>
      <c r="AX1054" s="115">
        <f>$L615</f>
        <v>0</v>
      </c>
      <c r="BA1054" s="1" t="str">
        <f>F620</f>
        <v/>
      </c>
      <c r="BB1054" s="4" t="str">
        <f t="shared" si="50"/>
        <v>At the moment, my wellness goal is still evolving.</v>
      </c>
      <c r="BC1054" s="6" t="s">
        <v>3</v>
      </c>
      <c r="BI1054" s="1">
        <f t="shared" si="51"/>
        <v>20</v>
      </c>
      <c r="BJ1054" s="1">
        <f t="shared" si="52"/>
        <v>0</v>
      </c>
      <c r="BL1054" s="1">
        <f>IF(C605="",0,0.1)</f>
        <v>0</v>
      </c>
      <c r="BM1054" s="1">
        <f>IF(AND(F605="",I605=""),0,0.1)</f>
        <v>0</v>
      </c>
      <c r="BN1054" s="1">
        <f>IF(L605="",0,0.1)</f>
        <v>0</v>
      </c>
      <c r="BO1054" s="1">
        <f>IF(K607="",0,0.1)</f>
        <v>0</v>
      </c>
      <c r="BP1054" s="1">
        <f>IF(G611="",0,0.1)</f>
        <v>0</v>
      </c>
      <c r="BQ1054" s="1">
        <f>IF(G617="",0,0.1)</f>
        <v>0</v>
      </c>
      <c r="BR1054" s="1">
        <f>IF(M617="",0,0.1)</f>
        <v>0</v>
      </c>
      <c r="BS1054" s="1">
        <f>IF(C622="",0,0.1)</f>
        <v>0</v>
      </c>
      <c r="BT1054" s="1">
        <f>IF(AND(F622="",I622=""),0,0.1)</f>
        <v>0</v>
      </c>
      <c r="BU1054" s="1">
        <f>IF(L622="",0,0.1)</f>
        <v>0</v>
      </c>
      <c r="BV1054" s="151">
        <f t="shared" si="66"/>
        <v>0</v>
      </c>
      <c r="BW1054" s="161">
        <v>20</v>
      </c>
      <c r="BX1054" s="148">
        <f>C605</f>
        <v>0</v>
      </c>
      <c r="BY1054" s="149">
        <f>IF(I622="",F622,I622)</f>
        <v>0</v>
      </c>
      <c r="BZ1054" s="150">
        <f t="shared" si="53"/>
        <v>0</v>
      </c>
      <c r="CA1054" s="1">
        <f t="shared" si="34"/>
        <v>0</v>
      </c>
      <c r="CB1054" s="1">
        <f t="shared" si="67"/>
        <v>0</v>
      </c>
      <c r="CC1054" s="92">
        <f t="shared" si="54"/>
        <v>14</v>
      </c>
      <c r="CD1054" s="1">
        <f t="shared" si="55"/>
        <v>1</v>
      </c>
      <c r="CE1054" s="1">
        <f t="shared" si="56"/>
        <v>14</v>
      </c>
      <c r="CF1054" s="1">
        <f t="shared" si="57"/>
        <v>1900</v>
      </c>
      <c r="CG1054" s="4" t="str">
        <f t="shared" si="58"/>
        <v>1/14/1900</v>
      </c>
      <c r="CH1054" s="1">
        <f t="shared" si="35"/>
        <v>1</v>
      </c>
      <c r="CI1054" s="1" t="str">
        <f t="shared" si="36"/>
        <v xml:space="preserve">January </v>
      </c>
      <c r="CJ1054" s="1">
        <f t="shared" si="37"/>
        <v>0</v>
      </c>
      <c r="CL1054" s="1" t="s">
        <v>266</v>
      </c>
      <c r="CM1054" s="1">
        <f t="shared" si="38"/>
        <v>1900</v>
      </c>
      <c r="CN1054" s="4" t="str">
        <f t="shared" si="59"/>
        <v/>
      </c>
      <c r="CP1054" s="142" t="str">
        <f>IF(M667=CR$1034,CR1054,IF(M667=CS$1034,CS1054,IF(M667=CT$1034,CT1054,IF(M667=CU$1034,CU1054,IF(M667=CV$1034,CV1054,IF(M667=CW$1034,CW1054,IF(M667=CX$1034,CX1054,IF(M667=CY$1034,CY1054,IF(M667=CZ$1034,CZ1054,IF(M667=DA$1034,DA1054,IF(DB$1034,DB1054,IF(M667="",""))))))))))))</f>
        <v>Congratulations on completing all these steps to engage 0. If you find 0 responsive enough to 'follow' your upcoming wellness campaign, great! Invite 0 when ready.</v>
      </c>
      <c r="CQ1054" s="168">
        <v>20</v>
      </c>
      <c r="CR1054" s="1" t="str">
        <f t="shared" si="68"/>
        <v>You have yet to invite 0 to this warmup wellness exercise. After you send 0 an INVITATION card, meme, or video, be sure to mark the date and proceed with these steps.</v>
      </c>
      <c r="CS1054" s="1" t="str">
        <f t="shared" si="69"/>
        <v>You first invited 0 0, back on . Since 0 days have gone by, use the "follow-up" message template to remind them to share a need.</v>
      </c>
      <c r="CT1054" s="1" t="e" cm="1">
        <f t="array" aca="1" ref="CT1054" ca="1">IF(CC1054&gt;$BX$1034,CONCATENATE($DQ$1037,CG1054,$DS$1037,C1054,$DU$1037),CONCOTENATE($DX$1037,C1054,$DZ$1037,CG1054,$EB$1037))</f>
        <v>#NAME?</v>
      </c>
      <c r="CU1054" s="6" t="str">
        <f t="shared" si="70"/>
        <v>Estimate 0's level of urgency for their expressed need. In the next step, you can ask 0 how meaningful this need was for them. For now, trust your instinct of its urgency.</v>
      </c>
      <c r="CV1054" s="6" t="str">
        <f t="shared" si="71"/>
        <v>Establish your 'responsive rating' by having 0 rate how satisfied with your efforts to serve their need. Use the "rate me" tab to solicit their feedback and check their urgency level.</v>
      </c>
      <c r="CW1054" s="6" t="str">
        <f t="shared" si="60"/>
        <v>So far, you're doing great with 0! With 50% of these steps completed, it's now time to give 0 a need of yours they can now honor. You can use the "PNP" tab for this.</v>
      </c>
      <c r="CX1054" s="6" t="str">
        <f>CONCATENATE($DQ$1041,C1054,$DS$1041)</f>
        <v xml:space="preserve">Now that you know how receptive 0 is to your shared need, check how responsive they are to your need. Your energing 'responsive rating' depends on this reciprocity. </v>
      </c>
      <c r="CY1054" s="6" t="str">
        <f>CONCATENATE($DQ$1042,C1054,$DS$1042)</f>
        <v>If satisfied with 0's level of responsiveness so far, use the "invite" tab to welcome them to follow your upcoming wellness campaign. It also shares their responsive score.</v>
      </c>
      <c r="CZ1054" s="6" t="str">
        <f ca="1">IF($BX$1034&lt;BY1054,CONCATENATE($DQ$1043,DJ1054,$DS$1043,C1054,$DU$1043),CONCATENATE($DX$1043,C1054,$DZ$1043,DJ1054,$EB$1043,C1054,$ED$1043))</f>
        <v>Since you received no response from 0 since 1/14/1900, mark "no reply" as their response level. Emotionally prepare yourself to drop 0 from consideration.</v>
      </c>
      <c r="DA1054" s="6" t="str">
        <f>CONCATENATE($DQ$1044,C1054,$DS$1044,C1054,$DU$1044)</f>
        <v>Like before, 0 may need a gentle reminder to repond to your invitation. Simply send 0 another "invite" tab message with their evolving responsive score.</v>
      </c>
      <c r="DB1054" s="6" t="str">
        <f>CONCATENATE($DQ$1045,C1054,$DS$1045,C1054,$DU$1045,C1054,$DW$1045)</f>
        <v>Congratulations on completing all these steps to engage 0. If you find 0 responsive enough to 'follow' your upcoming wellness campaign, great! Invite 0 when ready.</v>
      </c>
      <c r="DC1054" s="6" t="s">
        <v>3</v>
      </c>
      <c r="DF1054" s="92">
        <f t="shared" si="61"/>
        <v>14</v>
      </c>
      <c r="DG1054" s="1">
        <f t="shared" si="62"/>
        <v>1</v>
      </c>
      <c r="DH1054" s="1">
        <f t="shared" si="63"/>
        <v>14</v>
      </c>
      <c r="DI1054" s="1">
        <f t="shared" si="64"/>
        <v>1900</v>
      </c>
      <c r="DJ1054" s="4" t="str">
        <f t="shared" si="65"/>
        <v>1/14/1900</v>
      </c>
    </row>
    <row r="1055" spans="2:134" ht="14.5" hidden="1" x14ac:dyDescent="0.45">
      <c r="H1055" s="6"/>
      <c r="L1055" s="65">
        <f>SUM(L1035:L1054)</f>
        <v>0</v>
      </c>
      <c r="M1055" s="9" t="str">
        <f>IF(G1056&gt;0,G1056,"")</f>
        <v/>
      </c>
      <c r="N1055" s="9">
        <f>ROUNDUP(SUM(N1035:N1054)/(O1055+0.0000001),2)</f>
        <v>0</v>
      </c>
      <c r="O1055" s="1">
        <f>SUM(O1035:O1054)</f>
        <v>0</v>
      </c>
      <c r="P1055" s="67">
        <f>ROUNDUP(SUM(P1035:P1054)/(Q1055+0.0000001),2)</f>
        <v>0</v>
      </c>
      <c r="Q1055" s="1">
        <f>SUM(Q1035:Q1054)</f>
        <v>0</v>
      </c>
      <c r="R1055" s="78"/>
    </row>
    <row r="1056" spans="2:134" ht="15" hidden="1" thickBot="1" x14ac:dyDescent="0.5">
      <c r="C1056" s="4" t="str">
        <f>IF(G1056=0,"Engage as many contacts above to get a reliable responsiveness score.","Your overall responsiveness score:")</f>
        <v>Engage as many contacts above to get a reliable responsiveness score.</v>
      </c>
      <c r="G1056" s="4">
        <f>SUM(G1035:G1054)</f>
        <v>0</v>
      </c>
      <c r="H1056" s="6"/>
      <c r="K1056" s="65" t="e">
        <f>SUM(K1035:K1054)/L1055</f>
        <v>#DIV/0!</v>
      </c>
      <c r="L1056" s="89" t="e">
        <f>IF(K1056&gt;100,0,K1056)</f>
        <v>#DIV/0!</v>
      </c>
      <c r="N1056" s="1"/>
      <c r="P1056" s="8">
        <f>ROUNDUP(SUM(P1035:P1054)/(Q1055+0.0000001),2)</f>
        <v>0</v>
      </c>
      <c r="R1056" s="8"/>
      <c r="S1056" s="4">
        <f>SUM(S1035:S1054)</f>
        <v>0</v>
      </c>
      <c r="T1056" s="4">
        <f>SUM(T1035:T1054)</f>
        <v>0</v>
      </c>
      <c r="U1056" s="4">
        <f>SUM(U1035:U1054)</f>
        <v>0</v>
      </c>
      <c r="AM1056" s="175"/>
      <c r="AN1056" s="175"/>
      <c r="AO1056" s="175"/>
    </row>
    <row r="1057" spans="2:97" ht="13.5" hidden="1" thickBot="1" x14ac:dyDescent="0.35">
      <c r="H1057" s="6"/>
      <c r="K1057" s="3" t="s">
        <v>287</v>
      </c>
      <c r="L1057" s="3" t="e">
        <f>IF(AND(K1056&lt;=100,K1056&gt;0),"is ","")</f>
        <v>#DIV/0!</v>
      </c>
      <c r="M1057" s="1" t="e">
        <f>IF(OR(K1056&gt;100,K1056&lt;=0),"is still being calculated",(ROUNDDOWN(K1056,2)*100))</f>
        <v>#DIV/0!</v>
      </c>
      <c r="N1057" s="1" t="e">
        <f>IF(L1057="is ","%.",".")</f>
        <v>#DIV/0!</v>
      </c>
      <c r="O1057" s="1" t="s">
        <v>288</v>
      </c>
      <c r="P1057" s="68" t="str">
        <f>IF(OR(P1055&lt;=0,P1055&gt;100),"still being calculated.",(ROUNDDOWN(P1055,2)*100))</f>
        <v>still being calculated.</v>
      </c>
      <c r="Q1057" s="3" t="str">
        <f>IF(AND(P1055&lt;=100,P1055&gt;0),"%.","")</f>
        <v/>
      </c>
      <c r="AD1057" s="107" t="s">
        <v>181</v>
      </c>
      <c r="AE1057" s="108"/>
      <c r="AF1057" s="108"/>
      <c r="AG1057" s="109"/>
      <c r="CQ1057" s="168">
        <f>CQ1035</f>
        <v>1</v>
      </c>
      <c r="CR1057" s="169" t="str">
        <f>IF(M626="","",M626*10)</f>
        <v/>
      </c>
      <c r="CS1057" s="1">
        <f>IF(CR1057="",0,10)</f>
        <v>0</v>
      </c>
    </row>
    <row r="1058" spans="2:97" hidden="1" x14ac:dyDescent="0.3">
      <c r="C1058" s="4" t="e">
        <f>CONCATENATE(K1057,L1057,M1057,N1057,O1057,P1057,Q1057,C1061)</f>
        <v>#DIV/0!</v>
      </c>
      <c r="F1058" s="6" t="s">
        <v>3</v>
      </c>
      <c r="H1058" s="6"/>
      <c r="R1058" s="4" t="str">
        <f>CONCATENATE(S1058,T1058,U1058)</f>
        <v>cardmemevideo</v>
      </c>
      <c r="S1058" s="7" t="str">
        <f>IF(S1056&gt;=(T1056+U1056),"card","")</f>
        <v>card</v>
      </c>
      <c r="T1058" s="7" t="str">
        <f>IF(T1056&gt;=(S1056+U1056),"meme","")</f>
        <v>meme</v>
      </c>
      <c r="U1058" s="7" t="str">
        <f>IF(U1056&gt;=(S1056+T1056),"video","")</f>
        <v>video</v>
      </c>
      <c r="AD1058" s="154" t="s">
        <v>340</v>
      </c>
      <c r="AE1058" s="154" t="s">
        <v>177</v>
      </c>
      <c r="CQ1058" s="168">
        <f t="shared" ref="CQ1058:CQ1076" si="77">CQ1036</f>
        <v>2</v>
      </c>
      <c r="CR1058" s="169" t="str">
        <f>IF(M628="","",M628*10)</f>
        <v/>
      </c>
      <c r="CS1058" s="1">
        <f t="shared" ref="CS1058:CS1076" si="78">IF(CR1058="",0,10)</f>
        <v>0</v>
      </c>
    </row>
    <row r="1059" spans="2:97" hidden="1" x14ac:dyDescent="0.3">
      <c r="C1059" s="5" t="e">
        <f>IF(L1056="","",IF(L1056=1,G1059,IF(AND(L1056&gt;=0.7,L1056&lt;1),H1059,IF(AND(L1056&gt;0.4,L1056&lt;0.7),I$1059,IF(AND(L1056&gt;0,L1056&lt;=0.4),J1059,IF(L1056=0,L1059))))))</f>
        <v>#DIV/0!</v>
      </c>
      <c r="F1059" s="6" t="s">
        <v>3</v>
      </c>
      <c r="G1059" s="1" t="s">
        <v>7</v>
      </c>
      <c r="H1059" s="1" t="s">
        <v>6</v>
      </c>
      <c r="I1059" s="1" t="s">
        <v>5</v>
      </c>
      <c r="J1059" s="1" t="s">
        <v>4</v>
      </c>
      <c r="K1059" s="6" t="s">
        <v>3</v>
      </c>
      <c r="L1059" s="1" t="s">
        <v>338</v>
      </c>
      <c r="M1059" s="6" t="s">
        <v>3</v>
      </c>
      <c r="CQ1059" s="168">
        <f t="shared" si="77"/>
        <v>3</v>
      </c>
      <c r="CR1059" s="169" t="str">
        <f>IF(M630="","",M630*10)</f>
        <v/>
      </c>
      <c r="CS1059" s="1">
        <f t="shared" si="78"/>
        <v>0</v>
      </c>
    </row>
    <row r="1060" spans="2:97" hidden="1" x14ac:dyDescent="0.3">
      <c r="C1060" s="5" t="str">
        <f>IF(L1055=1,G1060,H1060)</f>
        <v>Together with a wellness campaign, we can improve your responsiveness.</v>
      </c>
      <c r="F1060" s="6" t="s">
        <v>3</v>
      </c>
      <c r="G1060" s="1" t="s">
        <v>2</v>
      </c>
      <c r="H1060" s="1" t="s">
        <v>339</v>
      </c>
      <c r="AA1060" s="1">
        <v>1</v>
      </c>
      <c r="AD1060" s="4" t="s">
        <v>175</v>
      </c>
      <c r="AG1060" s="6" t="s">
        <v>3</v>
      </c>
      <c r="AH1060" s="4" t="str">
        <f>CONCATENATE(AJ1060,AK1060,AL1060)</f>
        <v>My responsiveness score is based on your responsiveness along with all the others I invited to my warmup exercise. Here is how your "responsiveness rating" of FALSE% was calculated.</v>
      </c>
      <c r="AI1060" s="6" t="s">
        <v>3</v>
      </c>
      <c r="AJ1060" s="1" t="s">
        <v>182</v>
      </c>
      <c r="AK1060" s="113" t="b">
        <f>IF($AD$1072=$C$1077,K1077,IF($AD$1072=$C$1078,K1078,IF($AD$1072=$C$1079,K1079,IF($AD$1072=$C$1080,K1080,IF($AD$1072=$C$1081,K1081,IF($AD$1072=$C$1082,K1082,IF($AD$1072=$C$1083,K1083,IF($AD$1072=$C$1084,K1084,IF($AD$1072=$C$1085,K1085,IF($AD$1072=$C$1086,K1086,IF($AD$1072=$C$1087,K1087,IF($AD$1072=$C$1088,K1088,IF($AD$1072=$C$1089,K1089,IF($AD$1072=$C$1090,K1090,IF($AD$1072=$C$1091,K1091,IF($AD$1072=$C$1092,K1092,IF($AD$1072=$C$1093,K1093,IF($AD$1072=$C$1094,K1094,IF($AD$1072=$C$1095,K1095,IF($AD$1072=$C$1096,K1096,IF($AD$1072="","")))))))))))))))))))))</f>
        <v>0</v>
      </c>
      <c r="AL1060" s="1" t="s">
        <v>183</v>
      </c>
      <c r="CQ1060" s="168">
        <f t="shared" si="77"/>
        <v>4</v>
      </c>
      <c r="CR1060" s="169" t="str">
        <f>IF(M632="","",M632*10)</f>
        <v/>
      </c>
      <c r="CS1060" s="1">
        <f t="shared" si="78"/>
        <v>0</v>
      </c>
    </row>
    <row r="1061" spans="2:97" hidden="1" x14ac:dyDescent="0.3">
      <c r="C1061" s="4" t="str">
        <f>IF(OR(S1056=T1056,T1056=U1056,R1058=""),"",CONCATENATE(G1061,H1061,I$1061))</f>
        <v/>
      </c>
      <c r="F1061" s="6" t="s">
        <v>3</v>
      </c>
      <c r="G1061" s="1" t="s">
        <v>1</v>
      </c>
      <c r="H1061" s="3" t="str">
        <f>R1058</f>
        <v>cardmemevideo</v>
      </c>
      <c r="I1061" s="1" t="s">
        <v>0</v>
      </c>
      <c r="AA1061" s="1">
        <v>2</v>
      </c>
      <c r="AD1061" s="1" t="s">
        <v>341</v>
      </c>
      <c r="AG1061" s="6" t="s">
        <v>3</v>
      </c>
      <c r="AH1061" s="4" t="str">
        <f>CONCATENATE(AJ1061,AK1061,AL1061,AM1061,AN1061,AO1061,AP1061,AQ1061,AR1061,AS1061,AT1061,AU1061,AV1061,AW1061,AX1061,AY1061,AZ1061,BA1061,BB1061,BC1061,BD1061)</f>
        <v>You responded to my invitation to express a need with a FALSE = FALSE%. Your expressed need seemed to have 0 for you = FALSE%. You took FALSE days to respond so no % reduction. FALSE + FALSE — FALSE = 0%.</v>
      </c>
      <c r="AI1061" s="6" t="s">
        <v>3</v>
      </c>
      <c r="AJ1061" s="1" t="s">
        <v>184</v>
      </c>
      <c r="AK1061" s="113" t="b">
        <f>IF($AD$1072=$C$1077,F$1035,IF($AD$1072=$C$1078,F$1036,IF($AD$1072=$C$1079,F$1037,IF($AD$1072=$C$1080,F$1038,IF($AD$1072=$C$1081,F$1039,IF($AD$1072=$C$1082,F$1040,IF($AD$1072=$C$1083,F$1041,IF($AD$1072=$C$1084,F$1042,IF($AD$1072=$C$1085,F$1043,IF($AD$1072=$C$1086,F$1044,IF($AD$1072=$C$1087,F$1045,IF($AD$1072=$C$1088,F$1046,IF($AD$1072=$C$1089,F$1047,IF($AD$1072=$C$1090,F$1048,IF($AD$1072=$C$1091,F$1049,IF($AD$1072=$C$1092,F$1050,IF($AD$1072=$C$1093,F$1051,IF($AD$1072=$C$1094,F$1052,IF($AD$1072=$C$1095,F$1053,IF($AD$1072=$C$1096,F$1054,IF($AD$1072="","")))))))))))))))))))))</f>
        <v>0</v>
      </c>
      <c r="AL1061" s="1" t="s">
        <v>185</v>
      </c>
      <c r="AM1061" s="120" t="b">
        <f>IF($AD$1072=$C$1077,(J1035/2)*100,IF($AD$1072=$C$1078,(J1036/2)*100,IF($AD$1072=$C$1079,(J1037/2)*100,IF($AD$1072=$C$1080,(J1038/2)*100,IF($AD$1072=$C$1081,(J1039/2)*100,IF($AD$1072=$C$1082,(J1040/2)*100,IF($AD$1072=$C$1083,(J1041/2)*100,IF($AD$1072=$C$1084,(J1042/2)*100,IF($AD$1072=$C$1085,(J1043/2)*100,IF($AD$1072=$C$1086,(J1044/2)*100,IF($AD$1072=$C$1087,(J1045/2)*100,IF($AD$1072=$C$1088,(J1046/2)*100,IF($AD$1072=$C$1089,(J1047/2)*100,IF($AD$1072=$C$1090,(J1048/2)*100,IF($AD$1072=$C$1091,(J1049/2)*100,IF($AD$1072=$C$1092,(J1050/2)*100,IF($AD$1072=$C$1093,(J1051/2)*100,IF($AD$1072=$C$1094,(J1052/2)*100,IF($AD$1072=$C$1095,(J1053/2)*100,IF($AD$1072=$C$1096,(J1054/2)*100,IF($AD$1072="","")))))))))))))))))))))</f>
        <v>0</v>
      </c>
      <c r="AN1061" s="1" t="s">
        <v>186</v>
      </c>
      <c r="AO1061" s="113">
        <f>IF($G$690=$C$1077,AM1035,IF($G$690=$C$1078,AM1036,IF($G$690=$C$1079,AM1037,IF($G$690=$C$1080,AM1038,IF($G$690=$C$1081,AM1039,IF($G$690=$C$1082,AM1040,IF($G$690=$C$1083,AM1041,IF($G$690=$C$1084,AM1042,IF($G$690=$C$1085,AM1043,IF($G$690=$C$1086,AM1044,IF($G$690=$C$1087,AM1045,IF($G$690=$C$1088,AM1046,IF($G$690=$C$1089,AM1047,IF($G$690=$C$1090,AM1048,IF($G$690=$C$1091,AM1049,IF($G$690=$C$1092,AM1050,IF($G$690=$C$1093,AM1051,IF($G$690=$C$1094,AM1052,IF($G$690=$C$1095,AM1053,IF($G$690=$C$1096,AM1054,IF($G$690="","")))))))))))))))))))))</f>
        <v>0</v>
      </c>
      <c r="AP1061" s="1" t="s">
        <v>187</v>
      </c>
      <c r="AQ1061" s="113" t="b">
        <f>IF($AD$1072=$C$1077,(I$1035/2)*100,IF($AD$1072=$C$1078,(I$1036/2)*100,IF($AD$1072=$C$1079,(I$1037/2)*100,IF($AD$1072=$C$1080,(I$1038/2)*100,IF($AD$1072=$C$1081,(I$1039/2)*100,IF($AD$1072=$C$1082,(I$1040/2)*100,IF($AD$1072=$C$1083,(I$1041/2)*100,IF($AD$1072=$C$1084,(I$1042/2)*100,IF($AD$1072=$C$1085,(I$1043/2)*100,IF($AD$1072=$C$1086,(I$1044/2)*100,IF($AD$1072=$C$1087,(I$1045/2)*100,IF($AD$1072=$C$1088,(I$1046/2)*100,IF($AD$1072=$C$1089,(I$1047/2)*100,IF($AD$1072=$C$1090,(I$1048/2)*100,IF($AD$1072=$C$1091,(I$1049/2)*100,IF($AD$1072=$C$1092,(I$1050/2)*100,IF($AD$1072=$C$1093,(I$1051/2)*100,IF($AD$1072=$C$1094,(I$1052/2)*100,IF($AD$1072=$C$1095,(I$1053/2)*100,IF($AD$1072=$C$1096,(I$1054/2)*100,IF($AD$1072="","")))))))))))))))))))))</f>
        <v>0</v>
      </c>
      <c r="AR1061" s="1" t="s">
        <v>188</v>
      </c>
      <c r="AS1061" s="113" t="b">
        <f>IF($AD$1072=$C$1077,AN1035,IF($AD$1072=$C$1078,AN1036,IF($AD$1072=$C$1079,AN1037,IF($AD$1072=$C$1080,AN1038,IF($AD$1072=$C$1081,AN1039,IF($AD$1072=$C$1082,AN1040,IF($AD$1072=$C$1083,AN1041,IF($AD$1072=$C$1084,AN1042,IF($AD$1072=$C$1085,AN1043,IF($AD$1072=$C$1086,AN1044,IF($AD$1072=$C$1087,AN1045,IF($AD$1072=$C$1088,AN1046,IF($AD$1072=$C$1089,AN1047,IF($AD$1072=$C$1090,AN1048,IF($AD$1072=$C$1091,AN1049,IF($AD$1072=$C$1092,AN1050,IF($AD$1072=$C$1093,AN1051,IF($AD$1072=$C$1094,AN1052,IF($AD$1072=$C$1095,AN1053,IF($AD$1072=$C$1096,AN1054,IF($AD$1072="","")))))))))))))))))))))</f>
        <v>0</v>
      </c>
      <c r="AT1061" s="1" t="str">
        <f>IF(AS1061=0," no time",IF(AS1061=1," day",IF(AS1061&gt;1," days")))</f>
        <v xml:space="preserve"> days</v>
      </c>
      <c r="AU1061" s="1" t="s">
        <v>191</v>
      </c>
      <c r="AV1061" s="113" t="str">
        <f>IF($G$690=$C$1077,AP1035,IF($G$690=$C$1078,AP1036,IF($G$690=$C$1079,AP1037,IF($G$690=$C$1080,AP1038,IF($G$690=$C$1081,AP1039,IF($G$690=$C$1082,AP1040,IF($G$690=$C$1083,AP1041,IF($G$690=$C$1084,AP1042,IF($G$690=$C$1085,AP1043,IF($G$690=$C$1086,AP1044,IF($G$690=$C$1087,AP1045,IF($G$690=$C$1088,AP1046,IF($G$690=$C$1089,AP1047,IF($G$690=$C$1090,AP1048,IF($G$690=$C$1091,AP1049,IF($G$690=$C$1092,AP1050,IF($G$690=$C$1093,AP1051,IF($G$690=$C$1094,AP1052,IF($G$690=$C$1095,AP1053,IF($G$690=$C$1096,AP1054,IF($G$690="","")))))))))))))))))))))</f>
        <v xml:space="preserve"> so no % reduction. </v>
      </c>
      <c r="AW1061" s="1" t="b">
        <f>AM1061</f>
        <v>0</v>
      </c>
      <c r="AX1061" s="1" t="s">
        <v>189</v>
      </c>
      <c r="AY1061" s="1" t="b">
        <f>AQ1061</f>
        <v>0</v>
      </c>
      <c r="AZ1061" s="1" t="s">
        <v>192</v>
      </c>
      <c r="BA1061" s="5" t="b">
        <f>AS1061</f>
        <v>0</v>
      </c>
      <c r="BB1061" s="1" t="s">
        <v>185</v>
      </c>
      <c r="BC1061" s="5">
        <f>AM1061+AQ1061-AS1061</f>
        <v>0</v>
      </c>
      <c r="BD1061" s="1" t="s">
        <v>190</v>
      </c>
      <c r="BE1061" s="1">
        <f>IF(NOT(BC1061&gt;0),0,BC1061)</f>
        <v>0</v>
      </c>
      <c r="BF1061" s="1">
        <f>IF(NOT(BE1061&gt;0),0,BE1061)</f>
        <v>0</v>
      </c>
      <c r="CQ1061" s="168">
        <f t="shared" si="77"/>
        <v>5</v>
      </c>
      <c r="CR1061" s="169" t="str">
        <f>IF(M634="","",M634*10)</f>
        <v/>
      </c>
      <c r="CS1061" s="1">
        <f t="shared" si="78"/>
        <v>0</v>
      </c>
    </row>
    <row r="1062" spans="2:97" s="2" customFormat="1" hidden="1" x14ac:dyDescent="0.3">
      <c r="B1062" s="1"/>
      <c r="C1062" s="1"/>
      <c r="D1062" s="1"/>
      <c r="E1062" s="1"/>
      <c r="F1062" s="1"/>
      <c r="G1062" s="1"/>
      <c r="H1062" s="3"/>
      <c r="I1062" s="1"/>
      <c r="J1062" s="1"/>
      <c r="K1062" s="1"/>
      <c r="L1062" s="1"/>
      <c r="M1062" s="1"/>
      <c r="AA1062" s="1">
        <v>3</v>
      </c>
      <c r="AD1062" s="1" t="s">
        <v>342</v>
      </c>
      <c r="AG1062" s="6" t="s">
        <v>3</v>
      </c>
      <c r="AH1062" s="4" t="str">
        <f>IF(AL1062=U1016,V1017,CONCATENATE(AJ1062,AK1062,AL1062,AM1062,AN1062,AO1062,AP1062))</f>
        <v xml:space="preserve">You seemed FALSE0FALSEefforts to serve your expressed need = FALSE%. </v>
      </c>
      <c r="AI1062" s="6" t="s">
        <v>3</v>
      </c>
      <c r="AJ1062" s="1" t="s">
        <v>193</v>
      </c>
      <c r="AK1062" s="1" t="b">
        <f>IF(AL1062=U1011,T1011,IF(AL1062=U1012,T1012,IF(AL1062=U1013,T1013,IF(AL1062=U1014,T1014,IF(AL1062=U1015,T1015,IF(AL1062=U1016,T1016,IF(AL1062="","")))))))</f>
        <v>0</v>
      </c>
      <c r="AL1062" s="113">
        <f>IF($G$690=$C$1077,AR$1035,IF($G$690=$C$1078,AR$1036,IF($G$690=$C$1079,AR$1037,IF($G$690=$C$1080,AR$1038,IF($G$690=$C$1081,AR$1039,IF($G$690=$C$1082,AR$1040,IF($G$690=$C$1083,AR$1041,IF($G$690=$C$1084,AR$1042,IF($G$690=$C$1085,AR$1043,IF($G$690=$C$1086,AR$1044,IF($G$690=$C$1087,AR$1045,IF($G$690=$C$1088,AR$1046,IF($G$690=$C$1089,AR$1047,IF($G$690=$C$1090,AR$1048,IF($G$690=$C$1091,AR$1049,IF($G$690=$C$1092,AR$1050,IF($G$690=$C$1093,AR$1051,IF($G$690=$C$1094,AR$1052,IF($G$690=$C$1095,AR$1053,IF($G$690=$C$1096,AR$1054,IF($G$690="","")))))))))))))))))))))</f>
        <v>0</v>
      </c>
      <c r="AM1062" s="1" t="b">
        <f>IF(AL1062=U1011,V1011,IF(AL1062=U1012,V1012,IF(AL1062=U1013,V1013,IF(AL1062=U1014,V1014,IF(AL1062=U1015,V1015,IF(AL1062=U1016,V1016,IF(AL1062="","")))))))</f>
        <v>0</v>
      </c>
      <c r="AN1062" s="1" t="s">
        <v>198</v>
      </c>
      <c r="AO1062" s="113" t="b">
        <f>IF($AD$1072=$C$1077,(W$1035*100),IF($AD$1072=$C$1078,(W$1036*100),IF($AD$1072=$C$1079,(W$1037*100),IF($AD$1072=$C$1080,(W$1038*100),IF($AD$1072=$C$1081,(W$1039*100),IF($AD$1072=$C$1082,(W$1040*100),IF($AD$1072=$C$1083,(W$1041*100),IF($AD$1072=$C$1084,(W$1042*100),IF($AD$1072=$C$1085,(W$1043*100),IF($AD$1072=$C$1086,(W$1044*100),IF($AD$1072=$C$1087,(W$1045*100),IF($AD$1072=$C$1088,(W$1046*100),IF($AD$1072=$C$1089,(W$1047*100),IF($AD$1072=$C$1090,(W$1048*100),IF($AD$1072=$C$1091,(W$1049*100),IF($AD$1072=$C$1092,(W$1050*100),IF($AD$1072=$C$1093,(W$1051*100),IF($AD$1072=$C$1094,(W$1052*100),IF($AD$1072=$C$1095,(W$1053*100),IF($AD$1072=$C$1096,(W$1054*100),IF($AD$1072="","")))))))))))))))))))))</f>
        <v>0</v>
      </c>
      <c r="AP1062" s="1" t="s">
        <v>8</v>
      </c>
      <c r="AQ1062" s="1"/>
      <c r="AR1062" s="1"/>
      <c r="AS1062" s="1"/>
      <c r="AT1062" s="1"/>
      <c r="AU1062" s="1"/>
      <c r="AV1062" s="1"/>
      <c r="AW1062" s="1"/>
      <c r="AX1062" s="1"/>
      <c r="AY1062" s="1"/>
      <c r="AZ1062" s="1"/>
      <c r="BE1062" s="1" t="b">
        <f>AO1062</f>
        <v>0</v>
      </c>
      <c r="CQ1062" s="168">
        <f t="shared" si="77"/>
        <v>6</v>
      </c>
      <c r="CR1062" s="169" t="str">
        <f>IF(M636="","",M636*10)</f>
        <v/>
      </c>
      <c r="CS1062" s="1">
        <f t="shared" si="78"/>
        <v>0</v>
      </c>
    </row>
    <row r="1063" spans="2:97" s="2" customFormat="1" hidden="1" x14ac:dyDescent="0.3">
      <c r="B1063" s="1"/>
      <c r="C1063" s="1">
        <v>0.8</v>
      </c>
      <c r="D1063" s="1">
        <v>1</v>
      </c>
      <c r="E1063" s="72" t="str">
        <f>CONCATENATE(H1063,I$1063,J1063,K1063,L1063)</f>
        <v xml:space="preserve">Your current chances for a successful wellness campaign looks promising. Go ahead and sign up today. With our 14-day trial, your first two weeks are free! </v>
      </c>
      <c r="F1063" s="79" t="s">
        <v>3</v>
      </c>
      <c r="H1063" s="7" t="s">
        <v>121</v>
      </c>
      <c r="I1063" s="1" t="s">
        <v>119</v>
      </c>
      <c r="J1063" s="1"/>
      <c r="K1063" s="1"/>
      <c r="L1063" s="1"/>
      <c r="M1063" s="1"/>
      <c r="S1063" s="71" t="s">
        <v>120</v>
      </c>
      <c r="AA1063" s="1">
        <v>4</v>
      </c>
      <c r="AD1063" s="4" t="s">
        <v>176</v>
      </c>
      <c r="AG1063" s="6" t="s">
        <v>3</v>
      </c>
      <c r="AH1063" s="4" t="str">
        <f>CONCATENATE(AJ1063,AK1063,AL1063,AM1063,AN1063,AO1063,AP1063,AQ1063,AR1063,AS1063,AT1063,AU1063,AV1063,AW1063,AX1063,AY1063,AZ1063,BA1063,BB1063,BC1063,BD1063)</f>
        <v xml:space="preserve">You seemed FALSE to respecting my expressed need = FALSE%. You seemed FALSE = FALSE%. FALSE + FALSE average = 0%. </v>
      </c>
      <c r="AI1063" s="6" t="s">
        <v>3</v>
      </c>
      <c r="AJ1063" s="1" t="s">
        <v>193</v>
      </c>
      <c r="AK1063" s="113" t="b">
        <f>IF($AD$1072=$C$1077,AT$1035,IF($AD$1072=$C$1078,AT$1036,IF($AD$1072=$C$1079,AT$1037,IF($AD$1072=$C$1080,AT$1038,IF($AD$1072=$C$1081,AT$1039,IF($AD$1072=$C$1082,AT$1040,IF($AD$1072=$C$1083,AT$1041,IF($AD$1072=$C$1084,AT$1042,IF($AD$1072=$C$1085,AT$1043,IF($AD$1072=$C$1086,AT$1044,IF($AD$1072=$C$1087,AT$1045,IF($AD$1072=$C$1088,AT$1046,IF($AD$1072=$C$1089,AT$1047,IF($AD$1072=$C$1090,AT$1048,IF($AD$1072=$C$1091,AT$1049,IF($AD$1072=$C$1092,AT$1050,IF($AD$1072=$C$1093,AT$1051,IF($AD$1072=$C$1094,AT$1052,IF($AD$1072=$C$1095,AT$1053,IF($AD$1072=$C$1096,AT$1054,IF($AD$1072="","")))))))))))))))))))))</f>
        <v>0</v>
      </c>
      <c r="AL1063" s="1" t="s">
        <v>200</v>
      </c>
      <c r="AM1063" s="120"/>
      <c r="AN1063" s="1"/>
      <c r="AO1063" s="113" t="b">
        <f>IF($AD$1072=$C$1077,(W$1035*100),IF($AD$1072=$C$1078,(W$1036*100),IF($AD$1072=$C$1079,(W$1037*100),IF($AD$1072=$C$1080,(W$1038*100),IF($AD$1072=$C$1081,(W$1039*100),IF($AD$1072=$C$1082,(W$1040*100),IF($AD$1072=$C$1083,(W$1041*100),IF($AD$1072=$C$1084,(W$1042*100),IF($AD$1072=$C$1085,(W$1043*100),IF($AD$1072=$C$1086,(W$1044*100),IF($AD$1072=$C$1087,(W$1045*100),IF($AD$1072=$C$1088,(W$1046*100),IF($AD$1072=$C$1089,(W$1047*100),IF($AD$1072=$C$1090,(W$1048*100),IF($AD$1072=$C$1091,(W$1049*100),IF($AD$1072=$C$1092,(W$1050*100),IF($AD$1072=$C$1093,(W$1051*100),IF($AD$1072=$C$1094,(W$1052*100),IF($AD$1072=$C$1095,(W$1053*100),IF($AD$1072=$C$1096,(W$1054*100),IF($AD$1072="","")))))))))))))))))))))</f>
        <v>0</v>
      </c>
      <c r="AP1063" s="1" t="s">
        <v>202</v>
      </c>
      <c r="AQ1063" s="120" t="b">
        <f>IF($AD$1072=$C$1077,AV$1035,IF($AD$1072=$C$1078,AV$1036,IF($AD$1072=$C$1079,AV$1037,IF($AD$1072=$C$1080,AV$1038,IF($AD$1072=$C$1081,AV$1039,IF($AD$1072=$C$1082,AV$1040,IF($AD$1072=$C$1083,AV$1041,IF($AD$1072=$C$1084,AV$1042,IF($AD$1072=$C$1085,AV$1043,IF($AD$1072=$C$1086,AV$1044,IF($AD$1072=$C$1087,AV$1045,IF($AD$1072=$C$1088,AV$1046,IF($AD$1072=$C$1089,AV$1047,IF($AD$1072=$C$1090,AV$1048,IF($AD$1072=$C$1091,AV$1049,IF($AD$1072=$C$1092,AV$1050,IF($AD$1072=$C$1093,AV$1051,IF($AD$1072=$C$1094,AV$1052,IF($AD$1072=$C$1095,AV$1053,IF($AD$1072=$C$1096,AV$1054,IF($AD$1072="","")))))))))))))))))))))</f>
        <v>0</v>
      </c>
      <c r="AR1063" s="6" t="s">
        <v>185</v>
      </c>
      <c r="AS1063" s="113" t="b">
        <f>IF($AD$1072=$C$1077,(Y$1035*100),IF($AD$1072=$C$1078,(Y$1036*100),IF($AD$1072=$C$1079,(Y$1037*100),IF($AD$1072=$C$1080,(Y$1038*100),IF($AD$1072=$C$1081,(Y$1039*100),IF($AD$1072=$C$1082,(Y$1040*100),IF($AD$1072=$C$1083,(Y$1041*100),IF($AD$1072=$C$1084,(Y$1042*100),IF($AD$1072=$C$1085,(Y$1043*100),IF($AD$1072=$C$1086,(Y$1044*100),IF($AD$1072=$C$1087,(Y$1045*100),IF($AD$1072=$C$1088,(Y$1046*100),IF($AD$1072=$C$1089,(Y$1047*100),IF($AD$1072=$C$1090,(Y$1048*100),IF($AD$1072=$C$1091,(Y$1049*100),IF($AD$1072=$C$1092,(Y$1050*100),IF($AD$1072=$C$1093,(Y$1051*100),IF($AD$1072=$C$1094,(Y$1052*100),IF($AD$1072=$C$1095,(Y$1053*100),IF($AD$1072=$C$1096,(Y$1054*100),IF($AD$1072="","")))))))))))))))))))))</f>
        <v>0</v>
      </c>
      <c r="AT1063" s="1" t="s">
        <v>8</v>
      </c>
      <c r="AU1063" s="1" t="b">
        <f>AO1063</f>
        <v>0</v>
      </c>
      <c r="AV1063" s="1" t="s">
        <v>189</v>
      </c>
      <c r="AW1063" s="1" t="b">
        <f>AS1063</f>
        <v>0</v>
      </c>
      <c r="AX1063" s="1" t="s">
        <v>201</v>
      </c>
      <c r="AY1063" s="1">
        <f>(AS1063+AU1063)/2</f>
        <v>0</v>
      </c>
      <c r="AZ1063" s="1" t="s">
        <v>8</v>
      </c>
      <c r="BA1063" s="1"/>
      <c r="BE1063" s="1">
        <f>AY1063</f>
        <v>0</v>
      </c>
      <c r="CQ1063" s="168">
        <f t="shared" si="77"/>
        <v>7</v>
      </c>
      <c r="CR1063" s="169" t="str">
        <f>IF(M683="","",M638*10)</f>
        <v/>
      </c>
      <c r="CS1063" s="1">
        <f t="shared" si="78"/>
        <v>0</v>
      </c>
    </row>
    <row r="1064" spans="2:97" s="2" customFormat="1" hidden="1" x14ac:dyDescent="0.3">
      <c r="B1064" s="1"/>
      <c r="C1064" s="1">
        <f>C1063-0.2</f>
        <v>0.60000000000000009</v>
      </c>
      <c r="D1064" s="1">
        <f>C1063</f>
        <v>0.8</v>
      </c>
      <c r="E1064" s="72" t="str">
        <f>CONCATENATE(H1064,I$1064,J1064,K1064,L1064)</f>
        <v>Your current chances for a successful wellness campaign looks hopeful. Go to our Engagement Forum to discuss with others what you could do to improve.</v>
      </c>
      <c r="F1064" s="79" t="s">
        <v>3</v>
      </c>
      <c r="H1064" s="7" t="s">
        <v>122</v>
      </c>
      <c r="I1064" s="1" t="s">
        <v>116</v>
      </c>
      <c r="J1064" s="1"/>
      <c r="K1064" s="1"/>
      <c r="L1064" s="1"/>
      <c r="M1064" s="1"/>
      <c r="AA1064" s="1">
        <v>5</v>
      </c>
      <c r="AD1064" s="1" t="s">
        <v>178</v>
      </c>
      <c r="AG1064" s="6" t="s">
        <v>3</v>
      </c>
      <c r="AH1064" s="4" t="str">
        <f>CONCATENATE(AJ1064,AK1064,AL1064,AM1064,AN1064,AO1064,AP1064,AQ1064,AR1064,AS1064,AT1064,AU1064,AV1064,AW1064,AX1064,AY1064,AZ1064,BA1064,BB1064,BC1064,BD1064)</f>
        <v xml:space="preserve">You responded to my invitation to support my wellness campaign with a FALSE = FALSE%. You took FALSE days to respond = 0%. FALSE — FALSE = 0%. </v>
      </c>
      <c r="AI1064" s="6" t="s">
        <v>3</v>
      </c>
      <c r="AJ1064" s="1" t="s">
        <v>212</v>
      </c>
      <c r="AK1064" s="113" t="b">
        <f>IF($AD$1072=$C$1077,F$1035,IF($AD$1072=$C$1078,F$1036,IF($AD$1072=$C$1079,F$1037,IF($AD$1072=$C$1080,F$1038,IF($AD$1072=$C$1081,F$1039,IF($AD$1072=$C$1082,F$1040,IF($AD$1072=$C$1083,F$1041,IF($AD$1072=$C$1084,F$1042,IF($AD$1072=$C$1085,F$1043,IF($AD$1072=$C$1086,F$1044,IF($AD$1072=$C$1087,F$1045,IF($AD$1072=$C$1088,F$1046,IF($AD$1072=$C$1089,F$1047,IF($AD$1072=$C$1090,F$1048,IF($AD$1072=$C$1091,F$1049,IF($AD$1072=$C$1092,F$1050,IF($AD$1072=$C$1093,F$1051,IF($AD$1072=$C$1094,F$1052,IF($AD$1072=$C$1095,F$1053,IF($AD$1072=$C$1096,F$1054,IF($AD$1072="","")))))))))))))))))))))</f>
        <v>0</v>
      </c>
      <c r="AL1064" s="6" t="s">
        <v>185</v>
      </c>
      <c r="AM1064" s="120" t="b">
        <f>IF($AD$1072=$C$1077,(AG$1035*100),IF($AD$1072=$C$1078,(AG$1036*100),IF($AD$1072=$C$1079,(AG$1037*100),IF($AD$1072=$C$1080,(AG$1038*100),IF($AD$1072=$C$1081,(AG$1039*100),IF($AD$1072=$C$1082,(AG$1040*100),IF($AD$1072=$C$1083,(AG$1041*100),IF($AD$1072=$C$1084,(AG$1042*100),IF($AD$1072=$C$1085,(AG$1043*100),IF($AD$1072=$C$1086,(AG$1044*100),IF($AD$1072=$C$1087,(AG$1045*100),IF($AD$1072=$C$1088,(AG$1046*100),IF($AD$1072=$C$1089,(AG$1047*100),IF($AD$1072=$C$1090,(AG$1048*100),IF($AD$1072=$C$1091,(AG$1049*100),IF($AD$1072=$C$1092,(AG$1050*100),IF($AD$1072=$C$1093,(AG$1051*100),IF($AD$1072=$C$1094,(AG$1052*100),IF($AD$1072=$C$1095,(AG$1053*100),IF($AD$1072=$C$1096,(AG$1054*100),IF($AD$1072="","")))))))))))))))))))))</f>
        <v>0</v>
      </c>
      <c r="AN1064" s="1" t="s">
        <v>188</v>
      </c>
      <c r="AO1064" s="120" t="b">
        <f>IF($AD$1072=$C$1077,(AE$1035),IF($AD$1072=$C$1078,(AE$1036),IF($AD$1072=$C$1079,(AE$1037),IF($AD$1072=$C$1080,(AE$1038),IF($AD$1072=$C$1081,(AE$1039),IF($AD$1072=$C$1082,(AE$1040),IF($AD$1072=$C$1083,(AE$1041),IF($AD$1072=$C$1084,(AE$1042),IF($AD$1072=$C$1085,(AE$1043),IF($AD$1072=$C$1086,(AE$1044),IF($AD$1072=$C$1087,(AE$1045),IF($AD$1072=$C$1088,(AE$1046),IF($AD$1072=$C$1089,(AE$1047),IF($AD$1072=$C$1090,(AE$1048),IF($AD$1072=$C$1091,(AE$1049),IF($AD$1072=$C$1092,(AE$1050),IF($AD$1072=$C$1093,(AE$1051),IF($AD$1072=$C$1094,(AE$1052),IF($AD$1072=$C$1095,(AE$1053),IF($AD$1072=$C$1096,(AE$1054),IF($AD$1072="","")))))))))))))))))))))</f>
        <v>0</v>
      </c>
      <c r="AP1064" s="1" t="str">
        <f>IF(AO1064=1," day to respond = "," days to respond = ")</f>
        <v xml:space="preserve"> days to respond = </v>
      </c>
      <c r="AQ1064" s="1">
        <f>AO1064*-1</f>
        <v>0</v>
      </c>
      <c r="AR1064" s="6" t="s">
        <v>8</v>
      </c>
      <c r="AS1064" s="1" t="b">
        <f>AM1064</f>
        <v>0</v>
      </c>
      <c r="AT1064" s="6" t="s">
        <v>192</v>
      </c>
      <c r="AU1064" s="1" t="b">
        <f>AO1064</f>
        <v>0</v>
      </c>
      <c r="AV1064" s="6" t="s">
        <v>185</v>
      </c>
      <c r="AW1064" s="1">
        <f>AS1064-AU1064</f>
        <v>0</v>
      </c>
      <c r="AX1064" s="6" t="s">
        <v>8</v>
      </c>
      <c r="AY1064" s="1"/>
      <c r="AZ1064" s="1"/>
      <c r="BE1064" s="1">
        <f>AW1064</f>
        <v>0</v>
      </c>
      <c r="CQ1064" s="168">
        <f t="shared" si="77"/>
        <v>8</v>
      </c>
      <c r="CR1064" s="169" t="str">
        <f>IF(M640="","",M640*10)</f>
        <v/>
      </c>
      <c r="CS1064" s="1">
        <f t="shared" si="78"/>
        <v>0</v>
      </c>
    </row>
    <row r="1065" spans="2:97" s="2" customFormat="1" hidden="1" x14ac:dyDescent="0.3">
      <c r="B1065" s="1"/>
      <c r="C1065" s="1">
        <f t="shared" ref="C1065:C1067" si="79">C1064-0.2</f>
        <v>0.40000000000000008</v>
      </c>
      <c r="D1065" s="1">
        <f t="shared" ref="D1065:D1067" si="80">C1064</f>
        <v>0.60000000000000009</v>
      </c>
      <c r="E1065" s="72" t="str">
        <f>CONCATENATE(H1065,I$1065,J1065,K1065,L1065)</f>
        <v>Your current chances for a successful wellness campaign needs some work. Go to our Engagement Forum to discuss with others what you could do to improve.</v>
      </c>
      <c r="F1065" s="79" t="s">
        <v>3</v>
      </c>
      <c r="H1065" s="7" t="s">
        <v>123</v>
      </c>
      <c r="I1065" s="1" t="s">
        <v>116</v>
      </c>
      <c r="J1065" s="1"/>
      <c r="K1065" s="1"/>
      <c r="L1065" s="1"/>
      <c r="M1065" s="1"/>
      <c r="AA1065" s="1">
        <v>6</v>
      </c>
      <c r="AD1065" s="1" t="s">
        <v>179</v>
      </c>
      <c r="AG1065" s="6" t="s">
        <v>3</v>
      </c>
      <c r="AH1065" s="4" t="str">
        <f>CONCATENATE(AJ1065,AK1065,AL1065,AM1065,AN1065,AO1065,AP1065,AQ1065,AR1065,AS1065,AT1065,AU1065,AV1065,AW1065,AX1065,AY1065,AZ1065,BA1065,BB1065,BC1065,BD1065)</f>
        <v>Your initial responsiveness to express a need I can serve: 0%, plus your appreciation level to my efforts: FALSE%, plus your receptivity to my shared need: 0%, plus your responsiveness to supporting my wellness goal: 0%, divided by four to average 0%. Great!</v>
      </c>
      <c r="AI1065" s="6" t="s">
        <v>3</v>
      </c>
      <c r="AJ1065" s="1" t="s">
        <v>213</v>
      </c>
      <c r="AK1065" s="1">
        <f>BC1061</f>
        <v>0</v>
      </c>
      <c r="AL1065" s="1" t="s">
        <v>214</v>
      </c>
      <c r="AM1065" s="1" t="b">
        <f>AO1062</f>
        <v>0</v>
      </c>
      <c r="AN1065" s="1" t="s">
        <v>215</v>
      </c>
      <c r="AO1065" s="1">
        <f>AY1063</f>
        <v>0</v>
      </c>
      <c r="AP1065" s="1" t="s">
        <v>216</v>
      </c>
      <c r="AQ1065" s="1">
        <f>AW1064</f>
        <v>0</v>
      </c>
      <c r="AR1065" s="1" t="s">
        <v>217</v>
      </c>
      <c r="AS1065" s="1">
        <f>ROUND(AVERAGE(AK1065,AM1065,AO1065,AQ1065),0)</f>
        <v>0</v>
      </c>
      <c r="AT1065" s="1" t="s">
        <v>218</v>
      </c>
      <c r="AU1065" s="1"/>
      <c r="AV1065" s="1"/>
      <c r="AW1065" s="1"/>
      <c r="AX1065" s="1"/>
      <c r="AY1065" s="1"/>
      <c r="AZ1065" s="1"/>
      <c r="BE1065" s="4" t="str">
        <f>IF(NOT(AS1065&gt;0),"",AS1065)</f>
        <v/>
      </c>
      <c r="CQ1065" s="168">
        <f t="shared" si="77"/>
        <v>9</v>
      </c>
      <c r="CR1065" s="169" t="str">
        <f>IF(M642="","",M642*10)</f>
        <v/>
      </c>
      <c r="CS1065" s="1">
        <f t="shared" si="78"/>
        <v>0</v>
      </c>
    </row>
    <row r="1066" spans="2:97" s="2" customFormat="1" hidden="1" x14ac:dyDescent="0.3">
      <c r="B1066" s="1"/>
      <c r="C1066" s="1">
        <f t="shared" si="79"/>
        <v>0.20000000000000007</v>
      </c>
      <c r="D1066" s="1">
        <f t="shared" si="80"/>
        <v>0.40000000000000008</v>
      </c>
      <c r="E1066" s="72" t="str">
        <f>CONCATENATE(H1066,I$1066,J1066,K1066,L1066)</f>
        <v xml:space="preserve">Your current chances for a successful wellness campaign looks bleak. You may find more success naming someone to serve as your proxy. </v>
      </c>
      <c r="F1066" s="79" t="s">
        <v>3</v>
      </c>
      <c r="H1066" s="7" t="s">
        <v>124</v>
      </c>
      <c r="I1066" s="1" t="s">
        <v>117</v>
      </c>
      <c r="J1066" s="1"/>
      <c r="K1066" s="1"/>
      <c r="L1066" s="1"/>
      <c r="M1066" s="1"/>
      <c r="AA1066" s="1">
        <v>7</v>
      </c>
      <c r="AD1066" s="1" t="s">
        <v>343</v>
      </c>
      <c r="AG1066" s="6" t="s">
        <v>3</v>
      </c>
      <c r="AH1066" s="1"/>
      <c r="AI1066" s="6" t="s">
        <v>3</v>
      </c>
      <c r="AJ1066" s="1"/>
      <c r="AK1066" s="1"/>
      <c r="AL1066" s="1"/>
      <c r="AM1066" s="1"/>
      <c r="AN1066" s="1"/>
      <c r="AO1066" s="1"/>
      <c r="AP1066" s="1"/>
      <c r="AQ1066" s="1"/>
      <c r="AR1066" s="1"/>
      <c r="AS1066" s="1"/>
      <c r="AT1066" s="1"/>
      <c r="AU1066" s="1"/>
      <c r="AV1066" s="1"/>
      <c r="AW1066" s="1"/>
      <c r="AX1066" s="1"/>
      <c r="AY1066" s="1"/>
      <c r="AZ1066" s="1"/>
      <c r="CQ1066" s="168">
        <f t="shared" si="77"/>
        <v>10</v>
      </c>
      <c r="CR1066" s="169" t="str">
        <f>IF(M644="","",M644*10)</f>
        <v/>
      </c>
      <c r="CS1066" s="1">
        <f t="shared" si="78"/>
        <v>0</v>
      </c>
    </row>
    <row r="1067" spans="2:97" s="2" customFormat="1" hidden="1" x14ac:dyDescent="0.3">
      <c r="B1067" s="1"/>
      <c r="C1067" s="1">
        <f t="shared" si="79"/>
        <v>0</v>
      </c>
      <c r="D1067" s="1">
        <f t="shared" si="80"/>
        <v>0.20000000000000007</v>
      </c>
      <c r="E1067" s="72" t="str">
        <f>CONCATENATE(H1067,I$1067,J1067,K1067,L1067)</f>
        <v xml:space="preserve">Your current chances for a successful wellness campaign seems unlikely. Sorry this didn't work out for you. Go to our Engagement Forum to explore your options. </v>
      </c>
      <c r="F1067" s="79" t="s">
        <v>3</v>
      </c>
      <c r="H1067" s="7" t="s">
        <v>125</v>
      </c>
      <c r="I1067" s="1" t="s">
        <v>118</v>
      </c>
      <c r="J1067" s="1"/>
      <c r="K1067" s="1"/>
      <c r="L1067" s="1"/>
      <c r="M1067" s="1"/>
      <c r="AA1067" s="1"/>
      <c r="AD1067" s="1"/>
      <c r="AG1067" s="6" t="s">
        <v>3</v>
      </c>
      <c r="AH1067" s="4" t="s">
        <v>211</v>
      </c>
      <c r="AI1067" s="6" t="s">
        <v>3</v>
      </c>
      <c r="AJ1067" s="1"/>
      <c r="AR1067" s="1"/>
      <c r="AS1067" s="1"/>
      <c r="AT1067" s="1"/>
      <c r="AU1067" s="1"/>
      <c r="AV1067" s="1"/>
      <c r="AW1067" s="1"/>
      <c r="AX1067" s="1"/>
      <c r="AY1067" s="1"/>
      <c r="AZ1067" s="1"/>
      <c r="CQ1067" s="168">
        <f t="shared" si="77"/>
        <v>11</v>
      </c>
      <c r="CR1067" s="169" t="str">
        <f>IF(B649="","",M649*10)</f>
        <v/>
      </c>
      <c r="CS1067" s="1">
        <f t="shared" si="78"/>
        <v>0</v>
      </c>
    </row>
    <row r="1068" spans="2:97" s="2" customFormat="1" hidden="1" x14ac:dyDescent="0.3">
      <c r="B1068" s="1"/>
      <c r="C1068" s="1"/>
      <c r="D1068" s="1"/>
      <c r="E1068" s="1"/>
      <c r="F1068" s="1"/>
      <c r="G1068" s="1"/>
      <c r="H1068" s="3"/>
      <c r="I1068" s="1"/>
      <c r="J1068" s="1"/>
      <c r="K1068" s="1"/>
      <c r="L1068" s="1"/>
      <c r="M1068" s="1"/>
      <c r="AD1068" s="1" t="s">
        <v>180</v>
      </c>
      <c r="AG1068" s="6" t="s">
        <v>3</v>
      </c>
      <c r="AH1068" s="4" t="s">
        <v>210</v>
      </c>
      <c r="AI1068" s="6" t="s">
        <v>3</v>
      </c>
      <c r="AJ1068" s="1"/>
      <c r="AR1068" s="1"/>
      <c r="AS1068" s="1"/>
      <c r="AT1068" s="1"/>
      <c r="AU1068" s="1"/>
      <c r="AV1068" s="1"/>
      <c r="AW1068" s="1"/>
      <c r="AX1068" s="1"/>
      <c r="AY1068" s="1"/>
      <c r="AZ1068" s="1"/>
      <c r="CQ1068" s="168">
        <f t="shared" si="77"/>
        <v>12</v>
      </c>
      <c r="CR1068" s="169" t="str">
        <f>IF(B651="","",M651*10)</f>
        <v/>
      </c>
      <c r="CS1068" s="1">
        <f t="shared" si="78"/>
        <v>0</v>
      </c>
    </row>
    <row r="1069" spans="2:97" s="2" customFormat="1" hidden="1" x14ac:dyDescent="0.3">
      <c r="B1069" s="1"/>
      <c r="C1069" s="5" t="e">
        <f>IF(K1056&gt;100,G1069,E1069)</f>
        <v>#DIV/0!</v>
      </c>
      <c r="D1069" s="1"/>
      <c r="E1069" s="6" t="e">
        <f>IF(AND(L1056&gt;C1063,L1056&lt;=D1063),E1063,IF(AND(L1056&gt;C1064,L1056&lt;=D1064),E1064,IF(AND(L1056&gt;C1065,L1056&lt;=D1065),E1065,IF(AND(L1056&gt;C1066,L1056&lt;=D1066),E1066,IF(AND(L1056&gt;C1067,L1056&lt;=D1067),E1067,IF(AND(L1056&lt;C1067,L1056=0,L1055&lt;&gt;0),E1067))))))</f>
        <v>#DIV/0!</v>
      </c>
      <c r="F1069" s="1"/>
      <c r="G1069" s="1" t="s">
        <v>220</v>
      </c>
      <c r="H1069" s="3"/>
      <c r="I1069" s="1"/>
      <c r="J1069" s="1"/>
      <c r="K1069" s="1"/>
      <c r="L1069" s="1"/>
      <c r="M1069" s="1"/>
      <c r="AD1069" s="1"/>
      <c r="AH1069" s="1"/>
      <c r="CQ1069" s="168">
        <f t="shared" si="77"/>
        <v>13</v>
      </c>
      <c r="CR1069" s="169" t="str">
        <f>IF(B653="","",M653*10)</f>
        <v/>
      </c>
      <c r="CS1069" s="1">
        <f t="shared" si="78"/>
        <v>0</v>
      </c>
    </row>
    <row r="1070" spans="2:97" s="2" customFormat="1" hidden="1" x14ac:dyDescent="0.3">
      <c r="B1070" s="1"/>
      <c r="C1070" s="1"/>
      <c r="D1070" s="1"/>
      <c r="E1070" s="1"/>
      <c r="F1070" s="1"/>
      <c r="G1070" s="1"/>
      <c r="H1070" s="3"/>
      <c r="I1070" s="1"/>
      <c r="J1070" s="1"/>
      <c r="K1070" s="1"/>
      <c r="L1070" s="1"/>
      <c r="M1070" s="1"/>
      <c r="CQ1070" s="168">
        <f t="shared" si="77"/>
        <v>14</v>
      </c>
      <c r="CR1070" s="169" t="str">
        <f>IF(B655="","",M655*10)</f>
        <v/>
      </c>
      <c r="CS1070" s="1">
        <f t="shared" si="78"/>
        <v>0</v>
      </c>
    </row>
    <row r="1071" spans="2:97" s="2" customFormat="1" hidden="1" x14ac:dyDescent="0.3">
      <c r="B1071" s="1"/>
      <c r="C1071" s="80" t="e">
        <f>IF($L$1056&gt;=$C$1063,C$1072,"")</f>
        <v>#DIV/0!</v>
      </c>
      <c r="D1071" s="81"/>
      <c r="E1071" s="81"/>
      <c r="F1071" s="81"/>
      <c r="G1071" s="82"/>
      <c r="H1071" s="3"/>
      <c r="I1071" s="80" t="e">
        <f>IF($L$1056&lt;$C$1063,I$1072,"")</f>
        <v>#DIV/0!</v>
      </c>
      <c r="J1071" s="81"/>
      <c r="K1071" s="81"/>
      <c r="L1071" s="81"/>
      <c r="M1071" s="82"/>
      <c r="O1071" s="3" t="str">
        <f>F1077</f>
        <v xml:space="preserve">Thank you, 0, for participating in my wellness warmup exercise. Your preliminary responsiveness to needs scored %. </v>
      </c>
      <c r="T1071" s="3" t="s">
        <v>3</v>
      </c>
      <c r="U1071" s="3"/>
      <c r="V1071" s="3"/>
      <c r="W1071" s="3"/>
      <c r="X1071" s="3"/>
      <c r="Y1071" s="3"/>
      <c r="Z1071" s="3"/>
      <c r="AD1071" s="1"/>
      <c r="CQ1071" s="168">
        <f t="shared" si="77"/>
        <v>15</v>
      </c>
      <c r="CR1071" s="169" t="str">
        <f>IF(B657="","",M657*10)</f>
        <v/>
      </c>
      <c r="CS1071" s="1">
        <f t="shared" si="78"/>
        <v>0</v>
      </c>
    </row>
    <row r="1072" spans="2:97" s="2" customFormat="1" hidden="1" x14ac:dyDescent="0.3">
      <c r="B1072" s="1"/>
      <c r="C1072" s="1" t="s">
        <v>126</v>
      </c>
      <c r="D1072" s="1"/>
      <c r="E1072" s="1"/>
      <c r="F1072" s="1"/>
      <c r="G1072" s="1"/>
      <c r="H1072" s="3"/>
      <c r="I1072" s="1" t="s">
        <v>127</v>
      </c>
      <c r="J1072" s="1"/>
      <c r="K1072" s="1"/>
      <c r="L1072" s="1"/>
      <c r="M1072" s="1"/>
      <c r="O1072" s="3" t="str">
        <f>P1077</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T1072" s="3" t="s">
        <v>3</v>
      </c>
      <c r="U1072" s="3"/>
      <c r="V1072" s="3"/>
      <c r="W1072" s="3"/>
      <c r="X1072" s="3"/>
      <c r="Y1072" s="3"/>
      <c r="Z1072" s="3"/>
      <c r="AD1072" s="174" t="str">
        <f>invite!K523</f>
        <v xml:space="preserve"> </v>
      </c>
      <c r="CQ1072" s="168">
        <f t="shared" si="77"/>
        <v>16</v>
      </c>
      <c r="CR1072" s="169" t="str">
        <f>IF(B659="","",M659*10)</f>
        <v/>
      </c>
      <c r="CS1072" s="1">
        <f t="shared" si="78"/>
        <v>0</v>
      </c>
    </row>
    <row r="1073" spans="2:101" s="2" customFormat="1" hidden="1" x14ac:dyDescent="0.3">
      <c r="B1073" s="1"/>
      <c r="C1073" s="1"/>
      <c r="D1073" s="1"/>
      <c r="E1073" s="1"/>
      <c r="F1073" s="1"/>
      <c r="G1073" s="1"/>
      <c r="H1073" s="3"/>
      <c r="I1073" s="1"/>
      <c r="J1073" s="1"/>
      <c r="K1073" s="1"/>
      <c r="L1073" s="1"/>
      <c r="M1073" s="1"/>
      <c r="O1073" s="3"/>
      <c r="T1073" s="3"/>
      <c r="U1073" s="3"/>
      <c r="V1073" s="3"/>
      <c r="W1073" s="3"/>
      <c r="X1073" s="3"/>
      <c r="Y1073" s="3"/>
      <c r="Z1073" s="3"/>
      <c r="CQ1073" s="168">
        <f t="shared" si="77"/>
        <v>17</v>
      </c>
      <c r="CR1073" s="169" t="str">
        <f>IF(B661="","",M661*10)</f>
        <v/>
      </c>
      <c r="CS1073" s="1">
        <f t="shared" si="78"/>
        <v>0</v>
      </c>
    </row>
    <row r="1074" spans="2:101" s="2" customFormat="1" hidden="1" x14ac:dyDescent="0.3">
      <c r="B1074" s="1"/>
      <c r="C1074" s="1"/>
      <c r="D1074" s="1"/>
      <c r="E1074" s="1"/>
      <c r="F1074" s="1"/>
      <c r="G1074" s="1"/>
      <c r="I1074" s="1"/>
      <c r="J1074" s="1"/>
      <c r="K1074" s="1"/>
      <c r="L1074" s="1"/>
      <c r="M1074" s="1"/>
      <c r="O1074" s="3"/>
      <c r="T1074" s="3"/>
      <c r="U1074" s="3"/>
      <c r="V1074" s="3"/>
      <c r="W1074" s="3"/>
      <c r="X1074" s="3"/>
      <c r="Y1074" s="3"/>
      <c r="Z1074" s="3"/>
      <c r="CQ1074" s="168">
        <f t="shared" si="77"/>
        <v>18</v>
      </c>
      <c r="CR1074" s="169" t="str">
        <f>IF(B663="","",M663*10)</f>
        <v/>
      </c>
      <c r="CS1074" s="1">
        <f t="shared" si="78"/>
        <v>0</v>
      </c>
    </row>
    <row r="1075" spans="2:101" s="2" customFormat="1" hidden="1" x14ac:dyDescent="0.3">
      <c r="B1075" s="1"/>
      <c r="C1075" s="1"/>
      <c r="D1075" s="1"/>
      <c r="E1075" s="1"/>
      <c r="F1075" s="1"/>
      <c r="G1075" s="1"/>
      <c r="H1075" s="3"/>
      <c r="I1075" s="1"/>
      <c r="J1075" s="1"/>
      <c r="K1075" s="1"/>
      <c r="L1075" s="1"/>
      <c r="M1075" s="1"/>
      <c r="O1075" s="3"/>
      <c r="T1075" s="3"/>
      <c r="U1075" s="3"/>
      <c r="V1075" s="3"/>
      <c r="W1075" s="3"/>
      <c r="X1075" s="3"/>
      <c r="Y1075" s="3"/>
      <c r="Z1075" s="3"/>
      <c r="CQ1075" s="168">
        <f t="shared" si="77"/>
        <v>19</v>
      </c>
      <c r="CR1075" s="169" t="str">
        <f>IF(B665="","",M665*10)</f>
        <v/>
      </c>
      <c r="CS1075" s="1">
        <f t="shared" si="78"/>
        <v>0</v>
      </c>
    </row>
    <row r="1076" spans="2:101" s="2" customFormat="1" hidden="1" x14ac:dyDescent="0.3">
      <c r="B1076" s="1"/>
      <c r="C1076" s="1"/>
      <c r="D1076" s="1"/>
      <c r="E1076" s="1"/>
      <c r="F1076" s="1"/>
      <c r="G1076" s="1"/>
      <c r="H1076" s="3"/>
      <c r="I1076" s="1"/>
      <c r="J1076" s="1"/>
      <c r="K1076" s="1"/>
      <c r="L1076" s="1"/>
      <c r="M1076" s="1"/>
      <c r="O1076" s="3"/>
      <c r="CQ1076" s="168">
        <f t="shared" si="77"/>
        <v>20</v>
      </c>
      <c r="CR1076" s="169" t="str">
        <f>IF(B667="","",M667*10)</f>
        <v/>
      </c>
      <c r="CS1076" s="1">
        <f t="shared" si="78"/>
        <v>0</v>
      </c>
    </row>
    <row r="1077" spans="2:101" s="2" customFormat="1" hidden="1" x14ac:dyDescent="0.3">
      <c r="B1077" s="1">
        <v>1</v>
      </c>
      <c r="C1077" s="1" t="str">
        <f t="shared" ref="C1077:C1096" si="81">IF(C1035=0,"",CONCATENATE(C119," ",F119))</f>
        <v/>
      </c>
      <c r="E1077" s="1"/>
      <c r="F1077" s="4" t="str">
        <f>CONCATENATE(H1077,I$1077,J1077,K1077,L1077,M1077)</f>
        <v xml:space="preserve">Thank you, 0, for participating in my wellness warmup exercise. Your preliminary responsiveness to needs scored %. </v>
      </c>
      <c r="G1077" s="1"/>
      <c r="H1077" s="3" t="s">
        <v>164</v>
      </c>
      <c r="I1077" s="1">
        <f>C1035</f>
        <v>0</v>
      </c>
      <c r="J1077" s="1" t="s">
        <v>219</v>
      </c>
      <c r="K1077" s="1" t="str">
        <f t="shared" ref="K1077:K1096" si="82">IF(C1077="","",ROUNDUP((M119*100),0))</f>
        <v/>
      </c>
      <c r="L1077" s="1" t="s">
        <v>8</v>
      </c>
      <c r="M1077" s="1" t="str">
        <f>IF(K1077&lt;100,"Together, we can improve this score.",IF(K1077=100,"Together, we can sustain this score.",IF(K1077="","")))</f>
        <v/>
      </c>
      <c r="N1077" s="1"/>
      <c r="O1077" s="6" t="s">
        <v>3</v>
      </c>
      <c r="P1077" s="90" t="str">
        <f t="shared" ref="P1077:P1096" si="83">CONCATENATE(Q1077,R1077)</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77" s="3" t="s">
        <v>165</v>
      </c>
      <c r="R1077" s="91"/>
      <c r="S1077" s="90" t="s">
        <v>166</v>
      </c>
      <c r="T1077" s="90" t="str">
        <f t="shared" ref="T1077:T1096" si="84">BB1035</f>
        <v>At the moment, my wellness goal is still evolving.</v>
      </c>
      <c r="U1077" s="90" t="s">
        <v>167</v>
      </c>
      <c r="V1077" s="91" t="s">
        <v>3</v>
      </c>
      <c r="W1077" s="90" t="s">
        <v>168</v>
      </c>
      <c r="X1077" s="3" t="s">
        <v>3</v>
      </c>
      <c r="Y1077" s="90" t="str">
        <f>CONCATENATE(Z1077,AA1077,AB1077,AC1077,AD1077)</f>
        <v>Think about it for a while. I will get back to you when you're ready to decide to be more need-responsive and pursue greater wellness along with me. Thank you, 0, for everything.</v>
      </c>
      <c r="Z1077" s="3" t="s">
        <v>169</v>
      </c>
      <c r="AA1077" s="3">
        <f>C1035</f>
        <v>0</v>
      </c>
      <c r="AB1077" s="2" t="s">
        <v>170</v>
      </c>
      <c r="AE1077" s="90" t="str">
        <f>CONCATENATE(AF1077,AG1077)</f>
        <v xml:space="preserve">Thank you, </v>
      </c>
      <c r="AF1077" s="3" t="s">
        <v>164</v>
      </c>
      <c r="AG1077" s="3" t="str">
        <f>C1077</f>
        <v/>
      </c>
      <c r="AH1077" s="3"/>
      <c r="AI1077" s="3" t="str">
        <f t="shared" ref="AI1077:AI1096" si="85">IF(C119="","",CONCATENATE("your progress engaging ",C119))</f>
        <v/>
      </c>
      <c r="AJ1077" s="3"/>
      <c r="AK1077" s="3"/>
      <c r="AL1077" s="3"/>
      <c r="AM1077" s="3"/>
      <c r="CR1077" s="169">
        <f>SUM(CR1057:CR1076)</f>
        <v>0</v>
      </c>
      <c r="CS1077" s="169">
        <f>SUM(CS1057:CS1076)</f>
        <v>0</v>
      </c>
    </row>
    <row r="1078" spans="2:101" s="2" customFormat="1" hidden="1" x14ac:dyDescent="0.3">
      <c r="B1078" s="1">
        <v>2</v>
      </c>
      <c r="C1078" s="1" t="str">
        <f t="shared" si="81"/>
        <v/>
      </c>
      <c r="E1078" s="1"/>
      <c r="F1078" s="4" t="str">
        <f>CONCATENATE(H1078,I$1078,J1078,K1078,L1078,M1078)</f>
        <v xml:space="preserve">Thank you, 0, for participating in my wellness warmup exercise. Your preliminary responsiveness to needs scored %. </v>
      </c>
      <c r="G1078" s="1"/>
      <c r="H1078" s="3" t="s">
        <v>164</v>
      </c>
      <c r="I1078" s="1">
        <f t="shared" ref="I1078:I1096" si="86">C1036</f>
        <v>0</v>
      </c>
      <c r="J1078" s="1" t="s">
        <v>219</v>
      </c>
      <c r="K1078" s="1" t="str">
        <f t="shared" si="82"/>
        <v/>
      </c>
      <c r="L1078" s="1" t="s">
        <v>8</v>
      </c>
      <c r="M1078" s="1" t="str">
        <f t="shared" ref="M1078:M1096" si="87">IF(K1078&lt;100,"Together, we can improve this score.",IF(K1078=100,"Together, we can sustain this score.",IF(K1078="","")))</f>
        <v/>
      </c>
      <c r="N1078" s="1"/>
      <c r="O1078" s="6" t="s">
        <v>3</v>
      </c>
      <c r="P1078"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78" s="3" t="s">
        <v>165</v>
      </c>
      <c r="R1078" s="91"/>
      <c r="S1078" s="90" t="s">
        <v>166</v>
      </c>
      <c r="T1078" s="90" t="str">
        <f t="shared" si="84"/>
        <v>At the moment, my wellness goal is still evolving.</v>
      </c>
      <c r="U1078" s="90" t="s">
        <v>167</v>
      </c>
      <c r="V1078" s="91" t="s">
        <v>3</v>
      </c>
      <c r="W1078" s="90" t="s">
        <v>168</v>
      </c>
      <c r="X1078" s="3" t="s">
        <v>3</v>
      </c>
      <c r="Y1078" s="90" t="str">
        <f t="shared" ref="Y1078:Y1096" si="88">CONCATENATE(Z1078,AA1078,AB1078,AC1078,AD1078)</f>
        <v>Think about it for a while. I will get back to you when you're ready to decide to be more need-responsive and pursue greater wellness along with me. Thank you, 0, for everything.</v>
      </c>
      <c r="Z1078" s="3" t="s">
        <v>169</v>
      </c>
      <c r="AA1078" s="3">
        <f t="shared" ref="AA1078:AA1096" si="89">C1036</f>
        <v>0</v>
      </c>
      <c r="AB1078" s="2" t="s">
        <v>170</v>
      </c>
      <c r="AE1078" s="90" t="str">
        <f t="shared" ref="AE1078:AE1096" si="90">CONCATENATE(AF1078,AG1078)</f>
        <v xml:space="preserve">Thank you, </v>
      </c>
      <c r="AF1078" s="3" t="s">
        <v>164</v>
      </c>
      <c r="AG1078" s="3" t="str">
        <f t="shared" ref="AG1078:AG1081" si="91">C1078</f>
        <v/>
      </c>
      <c r="AH1078" s="3"/>
      <c r="AI1078" s="3" t="str">
        <f t="shared" si="85"/>
        <v/>
      </c>
      <c r="AJ1078" s="3"/>
      <c r="AK1078" s="3"/>
      <c r="AL1078" s="3"/>
      <c r="AM1078" s="3"/>
      <c r="CQ1078" s="169"/>
      <c r="CR1078" s="169"/>
      <c r="CS1078" s="169"/>
      <c r="CT1078" s="169"/>
      <c r="CU1078" s="169"/>
      <c r="CV1078" s="169"/>
      <c r="CW1078" s="169"/>
    </row>
    <row r="1079" spans="2:101" s="2" customFormat="1" hidden="1" x14ac:dyDescent="0.3">
      <c r="B1079" s="1">
        <v>3</v>
      </c>
      <c r="C1079" s="1" t="str">
        <f t="shared" si="81"/>
        <v/>
      </c>
      <c r="D1079" s="1"/>
      <c r="E1079" s="1"/>
      <c r="F1079" s="4" t="str">
        <f>CONCATENATE(H1079,I$1079,J1079,K1079,L1079,M1079)</f>
        <v xml:space="preserve">Thank you, 0, for participating in my wellness warmup exercise. Your preliminary responsiveness to needs scored %. </v>
      </c>
      <c r="G1079" s="1"/>
      <c r="H1079" s="3" t="s">
        <v>164</v>
      </c>
      <c r="I1079" s="1">
        <f t="shared" si="86"/>
        <v>0</v>
      </c>
      <c r="J1079" s="1" t="s">
        <v>219</v>
      </c>
      <c r="K1079" s="1" t="str">
        <f t="shared" si="82"/>
        <v/>
      </c>
      <c r="L1079" s="1" t="s">
        <v>8</v>
      </c>
      <c r="M1079" s="1" t="str">
        <f t="shared" si="87"/>
        <v/>
      </c>
      <c r="N1079" s="1"/>
      <c r="O1079" s="6" t="s">
        <v>3</v>
      </c>
      <c r="P1079"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79" s="3" t="s">
        <v>165</v>
      </c>
      <c r="R1079" s="91"/>
      <c r="S1079" s="90" t="s">
        <v>166</v>
      </c>
      <c r="T1079" s="90" t="str">
        <f t="shared" si="84"/>
        <v>At the moment, my wellness goal is still evolving.</v>
      </c>
      <c r="U1079" s="90" t="s">
        <v>167</v>
      </c>
      <c r="V1079" s="91" t="s">
        <v>3</v>
      </c>
      <c r="W1079" s="90" t="s">
        <v>168</v>
      </c>
      <c r="X1079" s="3" t="s">
        <v>3</v>
      </c>
      <c r="Y1079" s="90" t="str">
        <f t="shared" si="88"/>
        <v>Think about it for a while. I will get back to you when you're ready to decide to be more need-responsive and pursue greater wellness along with me. Thank you, 0, for everything.</v>
      </c>
      <c r="Z1079" s="3" t="s">
        <v>169</v>
      </c>
      <c r="AA1079" s="3">
        <f t="shared" si="89"/>
        <v>0</v>
      </c>
      <c r="AB1079" s="2" t="s">
        <v>170</v>
      </c>
      <c r="AE1079" s="90" t="str">
        <f t="shared" si="90"/>
        <v xml:space="preserve">Thank you, </v>
      </c>
      <c r="AF1079" s="3" t="s">
        <v>164</v>
      </c>
      <c r="AG1079" s="3" t="str">
        <f t="shared" si="91"/>
        <v/>
      </c>
      <c r="AH1079" s="3"/>
      <c r="AI1079" s="3" t="str">
        <f t="shared" si="85"/>
        <v/>
      </c>
      <c r="AJ1079" s="3"/>
      <c r="AK1079" s="3"/>
      <c r="AL1079" s="3"/>
      <c r="AM1079" s="3"/>
      <c r="CQ1079" s="170" t="s">
        <v>400</v>
      </c>
      <c r="CR1079" s="169">
        <f>C149</f>
        <v>0</v>
      </c>
      <c r="CS1079" s="92">
        <f>CR1079</f>
        <v>0</v>
      </c>
      <c r="CT1079" s="169"/>
      <c r="CU1079" s="169"/>
      <c r="CV1079" s="169"/>
      <c r="CW1079" s="169"/>
    </row>
    <row r="1080" spans="2:101" s="2" customFormat="1" hidden="1" x14ac:dyDescent="0.3">
      <c r="B1080" s="1">
        <v>4</v>
      </c>
      <c r="C1080" s="1" t="str">
        <f t="shared" si="81"/>
        <v/>
      </c>
      <c r="D1080" s="1"/>
      <c r="E1080" s="1"/>
      <c r="F1080" s="4" t="str">
        <f>CONCATENATE(H1080,I$1080,J1080,K1080,L1080,M1080)</f>
        <v xml:space="preserve">Thank you, 0, for participating in my wellness warmup exercise. Your preliminary responsiveness to needs scored %. </v>
      </c>
      <c r="G1080" s="1"/>
      <c r="H1080" s="3" t="s">
        <v>164</v>
      </c>
      <c r="I1080" s="1">
        <f t="shared" si="86"/>
        <v>0</v>
      </c>
      <c r="J1080" s="1" t="s">
        <v>219</v>
      </c>
      <c r="K1080" s="1" t="str">
        <f t="shared" si="82"/>
        <v/>
      </c>
      <c r="L1080" s="1" t="s">
        <v>8</v>
      </c>
      <c r="M1080" s="1" t="str">
        <f t="shared" si="87"/>
        <v/>
      </c>
      <c r="N1080" s="1"/>
      <c r="O1080" s="6" t="s">
        <v>3</v>
      </c>
      <c r="P1080"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0" s="3" t="s">
        <v>165</v>
      </c>
      <c r="R1080" s="91"/>
      <c r="S1080" s="90" t="s">
        <v>166</v>
      </c>
      <c r="T1080" s="90" t="str">
        <f t="shared" si="84"/>
        <v>At the moment, my wellness goal is still evolving.</v>
      </c>
      <c r="U1080" s="90" t="s">
        <v>167</v>
      </c>
      <c r="V1080" s="91" t="s">
        <v>3</v>
      </c>
      <c r="W1080" s="90" t="s">
        <v>168</v>
      </c>
      <c r="X1080" s="3" t="s">
        <v>3</v>
      </c>
      <c r="Y1080" s="90" t="str">
        <f t="shared" si="88"/>
        <v>Think about it for a while. I will get back to you when you're ready to decide to be more need-responsive and pursue greater wellness along with me. Thank you, 0, for everything.</v>
      </c>
      <c r="Z1080" s="3" t="s">
        <v>169</v>
      </c>
      <c r="AA1080" s="3">
        <f t="shared" si="89"/>
        <v>0</v>
      </c>
      <c r="AB1080" s="2" t="s">
        <v>170</v>
      </c>
      <c r="AE1080" s="90" t="str">
        <f t="shared" si="90"/>
        <v xml:space="preserve">Thank you, </v>
      </c>
      <c r="AF1080" s="3" t="s">
        <v>164</v>
      </c>
      <c r="AG1080" s="3" t="str">
        <f t="shared" si="91"/>
        <v/>
      </c>
      <c r="AH1080" s="3"/>
      <c r="AI1080" s="3" t="str">
        <f t="shared" si="85"/>
        <v/>
      </c>
      <c r="AJ1080" s="3"/>
      <c r="AK1080" s="3"/>
      <c r="AL1080" s="3"/>
      <c r="AM1080" s="3"/>
      <c r="CQ1080" s="169" t="s">
        <v>401</v>
      </c>
      <c r="CR1080" s="169">
        <f ca="1">TODAY()</f>
        <v>45274</v>
      </c>
      <c r="CS1080" s="92">
        <f ca="1">CR1080</f>
        <v>45274</v>
      </c>
      <c r="CT1080" s="169"/>
      <c r="CU1080" s="169"/>
      <c r="CV1080" s="169"/>
      <c r="CW1080" s="169"/>
    </row>
    <row r="1081" spans="2:101" s="2" customFormat="1" hidden="1" x14ac:dyDescent="0.3">
      <c r="B1081" s="1">
        <v>5</v>
      </c>
      <c r="C1081" s="1" t="str">
        <f t="shared" si="81"/>
        <v/>
      </c>
      <c r="D1081" s="1"/>
      <c r="E1081" s="1"/>
      <c r="F1081" s="4" t="str">
        <f>CONCATENATE(H1081,I$1081,J1081,K1081,L1081,M1081)</f>
        <v xml:space="preserve">Thank you, 0, for participating in my wellness warmup exercise. Your preliminary responsiveness to needs scored %. </v>
      </c>
      <c r="G1081" s="1"/>
      <c r="H1081" s="3" t="s">
        <v>164</v>
      </c>
      <c r="I1081" s="1">
        <f t="shared" si="86"/>
        <v>0</v>
      </c>
      <c r="J1081" s="1" t="s">
        <v>219</v>
      </c>
      <c r="K1081" s="1" t="str">
        <f t="shared" si="82"/>
        <v/>
      </c>
      <c r="L1081" s="1" t="s">
        <v>8</v>
      </c>
      <c r="M1081" s="1" t="str">
        <f t="shared" si="87"/>
        <v/>
      </c>
      <c r="N1081" s="1"/>
      <c r="O1081" s="6" t="s">
        <v>3</v>
      </c>
      <c r="P1081"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1" s="3" t="s">
        <v>165</v>
      </c>
      <c r="R1081" s="91"/>
      <c r="S1081" s="90" t="s">
        <v>166</v>
      </c>
      <c r="T1081" s="90" t="str">
        <f t="shared" si="84"/>
        <v>At the moment, my wellness goal is still evolving.</v>
      </c>
      <c r="U1081" s="90" t="s">
        <v>167</v>
      </c>
      <c r="V1081" s="91" t="s">
        <v>3</v>
      </c>
      <c r="W1081" s="90" t="s">
        <v>168</v>
      </c>
      <c r="X1081" s="3" t="s">
        <v>3</v>
      </c>
      <c r="Y1081" s="90" t="str">
        <f t="shared" si="88"/>
        <v>Think about it for a while. I will get back to you when you're ready to decide to be more need-responsive and pursue greater wellness along with me. Thank you, 0, for everything.</v>
      </c>
      <c r="Z1081" s="3" t="s">
        <v>169</v>
      </c>
      <c r="AA1081" s="3">
        <f t="shared" si="89"/>
        <v>0</v>
      </c>
      <c r="AB1081" s="3" t="s">
        <v>170</v>
      </c>
      <c r="AC1081" s="3"/>
      <c r="AD1081" s="3"/>
      <c r="AE1081" s="90" t="str">
        <f t="shared" si="90"/>
        <v xml:space="preserve">Thank you, </v>
      </c>
      <c r="AF1081" s="3" t="s">
        <v>164</v>
      </c>
      <c r="AG1081" s="3" t="str">
        <f t="shared" si="91"/>
        <v/>
      </c>
      <c r="AH1081" s="3"/>
      <c r="AI1081" s="3" t="str">
        <f t="shared" si="85"/>
        <v/>
      </c>
      <c r="AJ1081" s="3"/>
      <c r="AK1081" s="3"/>
      <c r="AL1081" s="3"/>
      <c r="AM1081" s="3"/>
      <c r="CO1081" s="169"/>
      <c r="CP1081" s="169"/>
      <c r="CQ1081" s="169"/>
      <c r="CR1081" s="169">
        <f ca="1">CR1080-CR1079</f>
        <v>45274</v>
      </c>
      <c r="CS1081" s="169" t="s">
        <v>402</v>
      </c>
      <c r="CT1081" s="169"/>
      <c r="CU1081" s="169"/>
      <c r="CV1081" s="169"/>
      <c r="CW1081" s="169"/>
    </row>
    <row r="1082" spans="2:101" s="2" customFormat="1" hidden="1" x14ac:dyDescent="0.3">
      <c r="B1082" s="1">
        <v>6</v>
      </c>
      <c r="C1082" s="1" t="str">
        <f t="shared" si="81"/>
        <v/>
      </c>
      <c r="D1082" s="1"/>
      <c r="E1082" s="1"/>
      <c r="F1082" s="4" t="str">
        <f>CONCATENATE(H1082,I$1082,J1082,K1082,L1082,M1082)</f>
        <v xml:space="preserve">Thank you, 0, for participating in my wellness warmup exercise. Your preliminary responsiveness to needs scored %. </v>
      </c>
      <c r="G1082" s="1"/>
      <c r="H1082" s="3" t="s">
        <v>164</v>
      </c>
      <c r="I1082" s="1">
        <f t="shared" si="86"/>
        <v>0</v>
      </c>
      <c r="J1082" s="1" t="s">
        <v>219</v>
      </c>
      <c r="K1082" s="1" t="str">
        <f t="shared" si="82"/>
        <v/>
      </c>
      <c r="L1082" s="1" t="s">
        <v>8</v>
      </c>
      <c r="M1082" s="1" t="str">
        <f t="shared" si="87"/>
        <v/>
      </c>
      <c r="N1082" s="1"/>
      <c r="O1082" s="6" t="s">
        <v>3</v>
      </c>
      <c r="P1082"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2" s="3" t="s">
        <v>165</v>
      </c>
      <c r="R1082" s="91"/>
      <c r="S1082" s="90" t="s">
        <v>166</v>
      </c>
      <c r="T1082" s="90" t="str">
        <f t="shared" si="84"/>
        <v>At the moment, my wellness goal is still evolving.</v>
      </c>
      <c r="U1082" s="90" t="s">
        <v>167</v>
      </c>
      <c r="V1082" s="91" t="s">
        <v>3</v>
      </c>
      <c r="W1082" s="90" t="s">
        <v>168</v>
      </c>
      <c r="X1082" s="3" t="s">
        <v>3</v>
      </c>
      <c r="Y1082" s="90" t="str">
        <f t="shared" si="88"/>
        <v>Think about it for a while. I will get back to you when you're ready to decide to be more need-responsive and pursue greater wellness along with me. Thank you, 0, for everything.</v>
      </c>
      <c r="Z1082" s="3" t="s">
        <v>169</v>
      </c>
      <c r="AA1082" s="3">
        <f t="shared" si="89"/>
        <v>0</v>
      </c>
      <c r="AB1082" s="2" t="s">
        <v>170</v>
      </c>
      <c r="AE1082" s="90" t="str">
        <f t="shared" si="90"/>
        <v xml:space="preserve">Thank you, </v>
      </c>
      <c r="AF1082" s="3" t="s">
        <v>164</v>
      </c>
      <c r="AG1082" s="3" t="str">
        <f t="shared" ref="AG1082:AG1096" si="92">C1082</f>
        <v/>
      </c>
      <c r="AH1082" s="3"/>
      <c r="AI1082" s="3" t="str">
        <f t="shared" si="85"/>
        <v/>
      </c>
      <c r="AJ1082" s="3"/>
      <c r="AK1082" s="3"/>
      <c r="AL1082" s="3"/>
      <c r="AM1082" s="3"/>
      <c r="CO1082" s="169"/>
      <c r="CP1082" s="169"/>
      <c r="CQ1082" s="170" t="s">
        <v>404</v>
      </c>
      <c r="CR1082" s="169">
        <f ca="1">CR1077/CR1081</f>
        <v>0</v>
      </c>
      <c r="CS1082" s="169" t="s">
        <v>403</v>
      </c>
      <c r="CT1082" s="169"/>
      <c r="CU1082" s="169"/>
      <c r="CV1082" s="169"/>
      <c r="CW1082" s="169"/>
    </row>
    <row r="1083" spans="2:101" s="2" customFormat="1" hidden="1" x14ac:dyDescent="0.3">
      <c r="B1083" s="1">
        <v>7</v>
      </c>
      <c r="C1083" s="1" t="str">
        <f t="shared" si="81"/>
        <v/>
      </c>
      <c r="D1083" s="1"/>
      <c r="E1083" s="1"/>
      <c r="F1083" s="4" t="str">
        <f>CONCATENATE(H1083,I$1083,J1083,K1083,L1083,M1083)</f>
        <v xml:space="preserve">Thank you, 0, for participating in my wellness warmup exercise. Your preliminary responsiveness to needs scored %. </v>
      </c>
      <c r="G1083" s="1"/>
      <c r="H1083" s="3" t="s">
        <v>164</v>
      </c>
      <c r="I1083" s="1">
        <f t="shared" si="86"/>
        <v>0</v>
      </c>
      <c r="J1083" s="1" t="s">
        <v>219</v>
      </c>
      <c r="K1083" s="1" t="str">
        <f t="shared" si="82"/>
        <v/>
      </c>
      <c r="L1083" s="1" t="s">
        <v>8</v>
      </c>
      <c r="M1083" s="1" t="str">
        <f t="shared" si="87"/>
        <v/>
      </c>
      <c r="N1083" s="1"/>
      <c r="O1083" s="6" t="s">
        <v>3</v>
      </c>
      <c r="P1083"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3" s="3" t="s">
        <v>165</v>
      </c>
      <c r="R1083" s="91"/>
      <c r="S1083" s="90" t="s">
        <v>166</v>
      </c>
      <c r="T1083" s="90" t="str">
        <f t="shared" si="84"/>
        <v>At the moment, my wellness goal is still evolving.</v>
      </c>
      <c r="U1083" s="90" t="s">
        <v>167</v>
      </c>
      <c r="V1083" s="91" t="s">
        <v>3</v>
      </c>
      <c r="W1083" s="90" t="s">
        <v>168</v>
      </c>
      <c r="X1083" s="3" t="s">
        <v>3</v>
      </c>
      <c r="Y1083" s="90" t="str">
        <f t="shared" si="88"/>
        <v>Think about it for a while. I will get back to you when you're ready to decide to be more need-responsive and pursue greater wellness along with me. Thank you, 0, for everything.</v>
      </c>
      <c r="Z1083" s="3" t="s">
        <v>169</v>
      </c>
      <c r="AA1083" s="3">
        <f t="shared" si="89"/>
        <v>0</v>
      </c>
      <c r="AB1083" s="2" t="s">
        <v>170</v>
      </c>
      <c r="AE1083" s="90" t="str">
        <f t="shared" si="90"/>
        <v xml:space="preserve">Thank you, </v>
      </c>
      <c r="AF1083" s="3" t="s">
        <v>164</v>
      </c>
      <c r="AG1083" s="3" t="str">
        <f t="shared" si="92"/>
        <v/>
      </c>
      <c r="AH1083" s="3"/>
      <c r="AI1083" s="3" t="str">
        <f t="shared" si="85"/>
        <v/>
      </c>
      <c r="AJ1083" s="3"/>
      <c r="AK1083" s="3"/>
      <c r="AL1083" s="3"/>
      <c r="AM1083" s="3"/>
      <c r="CO1083" s="169"/>
      <c r="CP1083" s="169"/>
      <c r="CQ1083" s="169"/>
      <c r="CR1083" s="169">
        <f>CR1077</f>
        <v>0</v>
      </c>
      <c r="CS1083" s="169" t="s">
        <v>406</v>
      </c>
      <c r="CT1083" s="169"/>
      <c r="CU1083" s="169"/>
      <c r="CV1083" s="169"/>
      <c r="CW1083" s="169"/>
    </row>
    <row r="1084" spans="2:101" s="2" customFormat="1" hidden="1" x14ac:dyDescent="0.3">
      <c r="B1084" s="1">
        <v>8</v>
      </c>
      <c r="C1084" s="1" t="str">
        <f t="shared" si="81"/>
        <v/>
      </c>
      <c r="D1084" s="1"/>
      <c r="E1084" s="1"/>
      <c r="F1084" s="4" t="str">
        <f>CONCATENATE(H1084,I$1084,J1084,K1084,L1084,M1084)</f>
        <v xml:space="preserve">Thank you, 0, for participating in my wellness warmup exercise. Your preliminary responsiveness to needs scored %. </v>
      </c>
      <c r="G1084" s="1"/>
      <c r="H1084" s="3" t="s">
        <v>164</v>
      </c>
      <c r="I1084" s="1">
        <f t="shared" si="86"/>
        <v>0</v>
      </c>
      <c r="J1084" s="1" t="s">
        <v>219</v>
      </c>
      <c r="K1084" s="1" t="str">
        <f t="shared" si="82"/>
        <v/>
      </c>
      <c r="L1084" s="1" t="s">
        <v>8</v>
      </c>
      <c r="M1084" s="1" t="str">
        <f t="shared" si="87"/>
        <v/>
      </c>
      <c r="N1084" s="1"/>
      <c r="O1084" s="6" t="s">
        <v>3</v>
      </c>
      <c r="P1084"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4" s="3" t="s">
        <v>165</v>
      </c>
      <c r="R1084" s="91"/>
      <c r="S1084" s="90" t="s">
        <v>166</v>
      </c>
      <c r="T1084" s="90" t="str">
        <f t="shared" si="84"/>
        <v>At the moment, my wellness goal is still evolving.</v>
      </c>
      <c r="U1084" s="90" t="s">
        <v>167</v>
      </c>
      <c r="V1084" s="91" t="s">
        <v>3</v>
      </c>
      <c r="W1084" s="90" t="s">
        <v>168</v>
      </c>
      <c r="X1084" s="3" t="s">
        <v>3</v>
      </c>
      <c r="Y1084" s="90" t="str">
        <f t="shared" si="88"/>
        <v>Think about it for a while. I will get back to you when you're ready to decide to be more need-responsive and pursue greater wellness along with me. Thank you, 0, for everything.</v>
      </c>
      <c r="Z1084" s="3" t="s">
        <v>169</v>
      </c>
      <c r="AA1084" s="3">
        <f t="shared" si="89"/>
        <v>0</v>
      </c>
      <c r="AB1084" s="2" t="s">
        <v>170</v>
      </c>
      <c r="AE1084" s="90" t="str">
        <f t="shared" si="90"/>
        <v xml:space="preserve">Thank you, </v>
      </c>
      <c r="AF1084" s="3" t="s">
        <v>164</v>
      </c>
      <c r="AG1084" s="3" t="str">
        <f t="shared" si="92"/>
        <v/>
      </c>
      <c r="AH1084" s="3"/>
      <c r="AI1084" s="3" t="str">
        <f t="shared" si="85"/>
        <v/>
      </c>
      <c r="AJ1084" s="3"/>
      <c r="AK1084" s="3"/>
      <c r="AL1084" s="3"/>
      <c r="AM1084" s="3"/>
      <c r="CO1084" s="169"/>
      <c r="CP1084" s="169"/>
      <c r="CQ1084" s="169"/>
      <c r="CR1084" s="169">
        <f>CS1077-CR1077</f>
        <v>0</v>
      </c>
      <c r="CS1084" s="169" t="s">
        <v>405</v>
      </c>
      <c r="CT1084" s="169"/>
      <c r="CU1084" s="169"/>
      <c r="CV1084" s="169"/>
      <c r="CW1084" s="169"/>
    </row>
    <row r="1085" spans="2:101" s="2" customFormat="1" hidden="1" x14ac:dyDescent="0.3">
      <c r="B1085" s="1">
        <v>9</v>
      </c>
      <c r="C1085" s="1" t="str">
        <f t="shared" si="81"/>
        <v/>
      </c>
      <c r="D1085" s="1"/>
      <c r="E1085" s="1"/>
      <c r="F1085" s="4" t="str">
        <f>CONCATENATE(H1085,I$1085,J1085,K1085,L1085,M1085)</f>
        <v xml:space="preserve">Thank you, 0, for participating in my wellness warmup exercise. Your preliminary responsiveness to needs scored %. </v>
      </c>
      <c r="G1085" s="1"/>
      <c r="H1085" s="3" t="s">
        <v>164</v>
      </c>
      <c r="I1085" s="1">
        <f t="shared" si="86"/>
        <v>0</v>
      </c>
      <c r="J1085" s="1" t="s">
        <v>219</v>
      </c>
      <c r="K1085" s="1" t="str">
        <f t="shared" si="82"/>
        <v/>
      </c>
      <c r="L1085" s="1" t="s">
        <v>8</v>
      </c>
      <c r="M1085" s="1" t="str">
        <f t="shared" si="87"/>
        <v/>
      </c>
      <c r="N1085" s="1"/>
      <c r="O1085" s="6" t="s">
        <v>3</v>
      </c>
      <c r="P1085"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5" s="3" t="s">
        <v>165</v>
      </c>
      <c r="R1085" s="91"/>
      <c r="S1085" s="90" t="s">
        <v>166</v>
      </c>
      <c r="T1085" s="90" t="str">
        <f t="shared" si="84"/>
        <v>At the moment, my wellness goal is still evolving.</v>
      </c>
      <c r="U1085" s="90" t="s">
        <v>167</v>
      </c>
      <c r="V1085" s="91" t="s">
        <v>3</v>
      </c>
      <c r="W1085" s="90" t="s">
        <v>168</v>
      </c>
      <c r="X1085" s="3" t="s">
        <v>3</v>
      </c>
      <c r="Y1085" s="90" t="str">
        <f t="shared" si="88"/>
        <v>Think about it for a while. I will get back to you when you're ready to decide to be more need-responsive and pursue greater wellness along with me. Thank you, 0, for everything.</v>
      </c>
      <c r="Z1085" s="3" t="s">
        <v>169</v>
      </c>
      <c r="AA1085" s="3">
        <f t="shared" si="89"/>
        <v>0</v>
      </c>
      <c r="AB1085" s="2" t="s">
        <v>170</v>
      </c>
      <c r="AE1085" s="90" t="str">
        <f t="shared" si="90"/>
        <v xml:space="preserve">Thank you, </v>
      </c>
      <c r="AF1085" s="3" t="s">
        <v>164</v>
      </c>
      <c r="AG1085" s="3" t="str">
        <f t="shared" si="92"/>
        <v/>
      </c>
      <c r="AH1085" s="3"/>
      <c r="AI1085" s="3" t="str">
        <f t="shared" si="85"/>
        <v/>
      </c>
      <c r="AJ1085" s="3"/>
      <c r="AK1085" s="3"/>
      <c r="AL1085" s="3"/>
      <c r="AM1085" s="3"/>
      <c r="CO1085" s="169"/>
      <c r="CP1085" s="169"/>
      <c r="CQ1085" s="169"/>
      <c r="CR1085" s="169">
        <f>CS1077</f>
        <v>0</v>
      </c>
      <c r="CS1085" s="169" t="s">
        <v>407</v>
      </c>
      <c r="CT1085" s="169"/>
      <c r="CU1085" s="169"/>
      <c r="CV1085" s="169"/>
      <c r="CW1085" s="169"/>
    </row>
    <row r="1086" spans="2:101" s="2" customFormat="1" hidden="1" x14ac:dyDescent="0.3">
      <c r="B1086" s="1">
        <v>10</v>
      </c>
      <c r="C1086" s="1" t="str">
        <f t="shared" si="81"/>
        <v/>
      </c>
      <c r="D1086" s="1"/>
      <c r="E1086" s="1"/>
      <c r="F1086" s="4" t="str">
        <f>CONCATENATE(H1086,I$1086,J1086,K1086,L1086,M1086)</f>
        <v xml:space="preserve">Thank you, 0, for participating in my wellness warmup exercise. Your preliminary responsiveness to needs scored %. </v>
      </c>
      <c r="G1086" s="1"/>
      <c r="H1086" s="3" t="s">
        <v>164</v>
      </c>
      <c r="I1086" s="1">
        <f t="shared" si="86"/>
        <v>0</v>
      </c>
      <c r="J1086" s="1" t="s">
        <v>219</v>
      </c>
      <c r="K1086" s="1" t="str">
        <f t="shared" si="82"/>
        <v/>
      </c>
      <c r="L1086" s="1" t="s">
        <v>8</v>
      </c>
      <c r="M1086" s="1" t="str">
        <f t="shared" si="87"/>
        <v/>
      </c>
      <c r="N1086" s="1"/>
      <c r="O1086" s="6" t="s">
        <v>3</v>
      </c>
      <c r="P1086"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6" s="3" t="s">
        <v>165</v>
      </c>
      <c r="R1086" s="91"/>
      <c r="S1086" s="90" t="s">
        <v>166</v>
      </c>
      <c r="T1086" s="90" t="str">
        <f t="shared" si="84"/>
        <v>At the moment, my wellness goal is still evolving.</v>
      </c>
      <c r="U1086" s="90" t="s">
        <v>167</v>
      </c>
      <c r="V1086" s="91" t="s">
        <v>3</v>
      </c>
      <c r="W1086" s="90" t="s">
        <v>168</v>
      </c>
      <c r="X1086" s="3" t="s">
        <v>3</v>
      </c>
      <c r="Y1086" s="90" t="str">
        <f t="shared" si="88"/>
        <v>Think about it for a while. I will get back to you when you're ready to decide to be more need-responsive and pursue greater wellness along with me. Thank you, 0, for everything.</v>
      </c>
      <c r="Z1086" s="3" t="s">
        <v>169</v>
      </c>
      <c r="AA1086" s="3">
        <f t="shared" si="89"/>
        <v>0</v>
      </c>
      <c r="AB1086" s="2" t="s">
        <v>170</v>
      </c>
      <c r="AE1086" s="90" t="str">
        <f t="shared" si="90"/>
        <v xml:space="preserve">Thank you, </v>
      </c>
      <c r="AF1086" s="3" t="s">
        <v>164</v>
      </c>
      <c r="AG1086" s="3" t="str">
        <f t="shared" si="92"/>
        <v/>
      </c>
      <c r="AH1086" s="3"/>
      <c r="AI1086" s="3" t="str">
        <f t="shared" si="85"/>
        <v/>
      </c>
      <c r="AJ1086" s="3"/>
      <c r="AK1086" s="3"/>
      <c r="AL1086" s="3"/>
      <c r="AM1086" s="3"/>
      <c r="CO1086" s="169"/>
      <c r="CP1086" s="169"/>
      <c r="CQ1086" s="169"/>
      <c r="CR1086" s="169" t="e">
        <f ca="1">CR1084/CR1082</f>
        <v>#DIV/0!</v>
      </c>
      <c r="CS1086" s="169" t="s">
        <v>408</v>
      </c>
      <c r="CT1086" s="169"/>
      <c r="CU1086" s="169"/>
      <c r="CV1086" s="169"/>
      <c r="CW1086" s="169"/>
    </row>
    <row r="1087" spans="2:101" s="2" customFormat="1" hidden="1" x14ac:dyDescent="0.3">
      <c r="B1087" s="1">
        <v>11</v>
      </c>
      <c r="C1087" s="1" t="str">
        <f t="shared" si="81"/>
        <v/>
      </c>
      <c r="D1087" s="1"/>
      <c r="E1087" s="1"/>
      <c r="F1087" s="4" t="str">
        <f>CONCATENATE(H1087,I$1087,J1087,K1087,L1087,M1087)</f>
        <v xml:space="preserve">Thank you, 0, for participating in my wellness warmup exercise. Your preliminary responsiveness to needs scored %. </v>
      </c>
      <c r="G1087" s="1"/>
      <c r="H1087" s="3" t="s">
        <v>164</v>
      </c>
      <c r="I1087" s="1">
        <f t="shared" si="86"/>
        <v>0</v>
      </c>
      <c r="J1087" s="1" t="s">
        <v>219</v>
      </c>
      <c r="K1087" s="1" t="str">
        <f t="shared" si="82"/>
        <v/>
      </c>
      <c r="L1087" s="1" t="s">
        <v>8</v>
      </c>
      <c r="M1087" s="1" t="str">
        <f t="shared" si="87"/>
        <v/>
      </c>
      <c r="N1087" s="1"/>
      <c r="O1087" s="6" t="s">
        <v>3</v>
      </c>
      <c r="P1087"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7" s="3" t="s">
        <v>165</v>
      </c>
      <c r="R1087" s="91"/>
      <c r="S1087" s="90" t="s">
        <v>166</v>
      </c>
      <c r="T1087" s="90" t="str">
        <f t="shared" si="84"/>
        <v>At the moment, my wellness goal is still evolving.</v>
      </c>
      <c r="U1087" s="90" t="s">
        <v>167</v>
      </c>
      <c r="V1087" s="91" t="s">
        <v>3</v>
      </c>
      <c r="W1087" s="90" t="s">
        <v>168</v>
      </c>
      <c r="X1087" s="3" t="s">
        <v>3</v>
      </c>
      <c r="Y1087" s="90" t="str">
        <f t="shared" si="88"/>
        <v>Think about it for a while. I will get back to you when you're ready to decide to be more need-responsive and pursue greater wellness along with me. Thank you, 0, for everything.</v>
      </c>
      <c r="Z1087" s="3" t="s">
        <v>169</v>
      </c>
      <c r="AA1087" s="3">
        <f t="shared" si="89"/>
        <v>0</v>
      </c>
      <c r="AB1087" s="2" t="s">
        <v>170</v>
      </c>
      <c r="AE1087" s="90" t="str">
        <f t="shared" si="90"/>
        <v xml:space="preserve">Thank you, </v>
      </c>
      <c r="AF1087" s="3" t="s">
        <v>164</v>
      </c>
      <c r="AG1087" s="3" t="str">
        <f t="shared" si="92"/>
        <v/>
      </c>
      <c r="AH1087" s="3"/>
      <c r="AI1087" s="3" t="str">
        <f t="shared" si="85"/>
        <v/>
      </c>
      <c r="AJ1087" s="3"/>
      <c r="AK1087" s="3"/>
      <c r="AL1087" s="3"/>
      <c r="AM1087" s="3"/>
      <c r="CO1087" s="169"/>
      <c r="CP1087" s="169"/>
      <c r="CQ1087" s="169"/>
      <c r="CR1087" s="169" t="e">
        <f ca="1">CR1080+CR1086</f>
        <v>#DIV/0!</v>
      </c>
      <c r="CS1087" s="92" t="e">
        <f ca="1">CR1087</f>
        <v>#DIV/0!</v>
      </c>
      <c r="CT1087" s="1" t="e">
        <f ca="1">MONTH(CS1087)</f>
        <v>#DIV/0!</v>
      </c>
      <c r="CU1087" s="1" t="e">
        <f ca="1">DAY(CS1087)</f>
        <v>#DIV/0!</v>
      </c>
      <c r="CV1087" s="1" t="e">
        <f ca="1">YEAR(CS1087)</f>
        <v>#DIV/0!</v>
      </c>
      <c r="CW1087" s="4" t="e">
        <f ca="1">CONCATENATE(CT1087,"/",CU1087,"/",CV1087)</f>
        <v>#DIV/0!</v>
      </c>
    </row>
    <row r="1088" spans="2:101" s="2" customFormat="1" hidden="1" x14ac:dyDescent="0.3">
      <c r="B1088" s="1">
        <v>12</v>
      </c>
      <c r="C1088" s="1" t="str">
        <f t="shared" si="81"/>
        <v/>
      </c>
      <c r="D1088" s="1"/>
      <c r="E1088" s="1"/>
      <c r="F1088" s="4" t="str">
        <f>CONCATENATE(H1088,I$1088,J1088,K1088,L1088,M1088)</f>
        <v xml:space="preserve">Thank you, 0, for participating in my wellness warmup exercise. Your preliminary responsiveness to needs scored %. </v>
      </c>
      <c r="G1088" s="1"/>
      <c r="H1088" s="3" t="s">
        <v>164</v>
      </c>
      <c r="I1088" s="1">
        <f t="shared" si="86"/>
        <v>0</v>
      </c>
      <c r="J1088" s="1" t="s">
        <v>219</v>
      </c>
      <c r="K1088" s="1" t="str">
        <f t="shared" si="82"/>
        <v/>
      </c>
      <c r="L1088" s="1" t="s">
        <v>8</v>
      </c>
      <c r="M1088" s="1" t="str">
        <f t="shared" si="87"/>
        <v/>
      </c>
      <c r="N1088" s="1"/>
      <c r="O1088" s="6" t="s">
        <v>3</v>
      </c>
      <c r="P1088"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8" s="3" t="s">
        <v>165</v>
      </c>
      <c r="R1088" s="91"/>
      <c r="S1088" s="90" t="s">
        <v>166</v>
      </c>
      <c r="T1088" s="90" t="str">
        <f t="shared" si="84"/>
        <v>At the moment, my wellness goal is still evolving.</v>
      </c>
      <c r="U1088" s="90" t="s">
        <v>167</v>
      </c>
      <c r="V1088" s="91" t="s">
        <v>3</v>
      </c>
      <c r="W1088" s="90" t="s">
        <v>168</v>
      </c>
      <c r="X1088" s="3" t="s">
        <v>3</v>
      </c>
      <c r="Y1088" s="90" t="str">
        <f t="shared" si="88"/>
        <v>Think about it for a while. I will get back to you when you're ready to decide to be more need-responsive and pursue greater wellness along with me. Thank you, 0, for everything.</v>
      </c>
      <c r="Z1088" s="3" t="s">
        <v>169</v>
      </c>
      <c r="AA1088" s="3">
        <f t="shared" si="89"/>
        <v>0</v>
      </c>
      <c r="AB1088" s="2" t="s">
        <v>170</v>
      </c>
      <c r="AE1088" s="90" t="str">
        <f t="shared" si="90"/>
        <v xml:space="preserve">Thank you, </v>
      </c>
      <c r="AF1088" s="3" t="s">
        <v>164</v>
      </c>
      <c r="AG1088" s="3" t="str">
        <f t="shared" si="92"/>
        <v/>
      </c>
      <c r="AH1088" s="3"/>
      <c r="AI1088" s="3" t="str">
        <f t="shared" si="85"/>
        <v/>
      </c>
      <c r="AJ1088" s="3"/>
      <c r="AK1088" s="3"/>
      <c r="AL1088" s="3"/>
      <c r="AM1088" s="3"/>
      <c r="CO1088" s="169"/>
      <c r="CQ1088" s="169"/>
      <c r="CR1088" s="169" t="s">
        <v>409</v>
      </c>
      <c r="CS1088" s="169"/>
      <c r="CT1088" s="169"/>
      <c r="CU1088" s="169"/>
      <c r="CV1088" s="169"/>
      <c r="CW1088" s="169"/>
    </row>
    <row r="1089" spans="2:101" s="2" customFormat="1" hidden="1" x14ac:dyDescent="0.3">
      <c r="B1089" s="1">
        <v>13</v>
      </c>
      <c r="C1089" s="1" t="str">
        <f t="shared" si="81"/>
        <v/>
      </c>
      <c r="D1089" s="1"/>
      <c r="E1089" s="1"/>
      <c r="F1089" s="4" t="str">
        <f>CONCATENATE(H1089,I$1089,J1089,K1089,L1089,M1089)</f>
        <v xml:space="preserve">Thank you, 0, for participating in my wellness warmup exercise. Your preliminary responsiveness to needs scored %. </v>
      </c>
      <c r="G1089" s="1"/>
      <c r="H1089" s="3" t="s">
        <v>164</v>
      </c>
      <c r="I1089" s="1">
        <f t="shared" si="86"/>
        <v>0</v>
      </c>
      <c r="J1089" s="1" t="s">
        <v>219</v>
      </c>
      <c r="K1089" s="1" t="str">
        <f t="shared" si="82"/>
        <v/>
      </c>
      <c r="L1089" s="1" t="s">
        <v>8</v>
      </c>
      <c r="M1089" s="1" t="str">
        <f t="shared" si="87"/>
        <v/>
      </c>
      <c r="N1089" s="1"/>
      <c r="O1089" s="6" t="s">
        <v>3</v>
      </c>
      <c r="P1089"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89" s="3" t="s">
        <v>165</v>
      </c>
      <c r="R1089" s="91"/>
      <c r="S1089" s="90" t="s">
        <v>166</v>
      </c>
      <c r="T1089" s="90" t="str">
        <f t="shared" si="84"/>
        <v>At the moment, my wellness goal is still evolving.</v>
      </c>
      <c r="U1089" s="90" t="s">
        <v>167</v>
      </c>
      <c r="V1089" s="91" t="s">
        <v>3</v>
      </c>
      <c r="W1089" s="90" t="s">
        <v>168</v>
      </c>
      <c r="X1089" s="3" t="s">
        <v>3</v>
      </c>
      <c r="Y1089" s="90" t="str">
        <f t="shared" si="88"/>
        <v>Think about it for a while. I will get back to you when you're ready to decide to be more need-responsive and pursue greater wellness along with me. Thank you, 0, for everything.</v>
      </c>
      <c r="Z1089" s="3" t="s">
        <v>169</v>
      </c>
      <c r="AA1089" s="3">
        <f t="shared" si="89"/>
        <v>0</v>
      </c>
      <c r="AB1089" s="2" t="s">
        <v>170</v>
      </c>
      <c r="AE1089" s="90" t="str">
        <f t="shared" si="90"/>
        <v xml:space="preserve">Thank you, </v>
      </c>
      <c r="AF1089" s="3" t="s">
        <v>164</v>
      </c>
      <c r="AG1089" s="3" t="str">
        <f t="shared" si="92"/>
        <v/>
      </c>
      <c r="AH1089" s="3"/>
      <c r="AI1089" s="3" t="str">
        <f t="shared" si="85"/>
        <v/>
      </c>
      <c r="AJ1089" s="3"/>
      <c r="AK1089" s="3"/>
      <c r="AL1089" s="3"/>
      <c r="AM1089" s="3"/>
      <c r="CO1089" s="169"/>
      <c r="CP1089" s="176" t="str">
        <f ca="1">IF(OR(B626="",CR1082=0),"",CONCATENATE(CR1088,CW1087,"."))</f>
        <v/>
      </c>
      <c r="CQ1089" s="172"/>
      <c r="CR1089" s="172"/>
      <c r="CS1089" s="172"/>
      <c r="CT1089" s="172"/>
      <c r="CU1089" s="172"/>
      <c r="CV1089" s="172"/>
      <c r="CW1089" s="169"/>
    </row>
    <row r="1090" spans="2:101" s="2" customFormat="1" hidden="1" x14ac:dyDescent="0.3">
      <c r="B1090" s="1">
        <v>14</v>
      </c>
      <c r="C1090" s="1" t="str">
        <f t="shared" si="81"/>
        <v/>
      </c>
      <c r="D1090" s="1"/>
      <c r="E1090" s="1"/>
      <c r="F1090" s="4" t="str">
        <f>CONCATENATE(H1090,I$1090,J1090,K1090,L1090,M1090)</f>
        <v xml:space="preserve">Thank you, 0, for participating in my wellness warmup exercise. Your preliminary responsiveness to needs scored %. </v>
      </c>
      <c r="G1090" s="1"/>
      <c r="H1090" s="3" t="s">
        <v>164</v>
      </c>
      <c r="I1090" s="1">
        <f t="shared" si="86"/>
        <v>0</v>
      </c>
      <c r="J1090" s="1" t="s">
        <v>219</v>
      </c>
      <c r="K1090" s="1" t="str">
        <f t="shared" si="82"/>
        <v/>
      </c>
      <c r="L1090" s="1" t="s">
        <v>8</v>
      </c>
      <c r="M1090" s="1" t="str">
        <f t="shared" si="87"/>
        <v/>
      </c>
      <c r="N1090" s="1"/>
      <c r="O1090" s="6" t="s">
        <v>3</v>
      </c>
      <c r="P1090"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0" s="3" t="s">
        <v>165</v>
      </c>
      <c r="R1090" s="91"/>
      <c r="S1090" s="90" t="s">
        <v>166</v>
      </c>
      <c r="T1090" s="90" t="str">
        <f t="shared" si="84"/>
        <v>At the moment, my wellness goal is still evolving.</v>
      </c>
      <c r="U1090" s="90" t="s">
        <v>167</v>
      </c>
      <c r="V1090" s="91" t="s">
        <v>3</v>
      </c>
      <c r="W1090" s="90" t="s">
        <v>168</v>
      </c>
      <c r="X1090" s="3" t="s">
        <v>3</v>
      </c>
      <c r="Y1090" s="90" t="str">
        <f t="shared" si="88"/>
        <v>Think about it for a while. I will get back to you when you're ready to decide to be more need-responsive and pursue greater wellness along with me. Thank you, 0, for everything.</v>
      </c>
      <c r="Z1090" s="3" t="s">
        <v>169</v>
      </c>
      <c r="AA1090" s="3">
        <f t="shared" si="89"/>
        <v>0</v>
      </c>
      <c r="AB1090" s="2" t="s">
        <v>170</v>
      </c>
      <c r="AE1090" s="90" t="str">
        <f t="shared" si="90"/>
        <v xml:space="preserve">Thank you, </v>
      </c>
      <c r="AF1090" s="3" t="s">
        <v>164</v>
      </c>
      <c r="AG1090" s="3" t="str">
        <f t="shared" si="92"/>
        <v/>
      </c>
      <c r="AH1090" s="3"/>
      <c r="AI1090" s="3" t="str">
        <f t="shared" si="85"/>
        <v/>
      </c>
      <c r="AJ1090" s="3"/>
      <c r="AK1090" s="3"/>
      <c r="AL1090" s="3"/>
      <c r="AM1090" s="3"/>
      <c r="CO1090" s="169"/>
      <c r="CP1090" s="169"/>
      <c r="CQ1090" s="169"/>
      <c r="CR1090" s="169"/>
      <c r="CS1090" s="169"/>
      <c r="CT1090" s="169"/>
      <c r="CU1090" s="169"/>
      <c r="CV1090" s="169"/>
      <c r="CW1090" s="169"/>
    </row>
    <row r="1091" spans="2:101" s="2" customFormat="1" hidden="1" x14ac:dyDescent="0.3">
      <c r="B1091" s="1">
        <v>15</v>
      </c>
      <c r="C1091" s="1" t="str">
        <f t="shared" si="81"/>
        <v/>
      </c>
      <c r="D1091" s="1"/>
      <c r="E1091" s="1"/>
      <c r="F1091" s="4" t="str">
        <f>CONCATENATE(H1091,I$1091,J1091,K1091,L1091,M1091)</f>
        <v xml:space="preserve">Thank you, 0, for participating in my wellness warmup exercise. Your preliminary responsiveness to needs scored %. </v>
      </c>
      <c r="G1091" s="1"/>
      <c r="H1091" s="3" t="s">
        <v>164</v>
      </c>
      <c r="I1091" s="1">
        <f t="shared" si="86"/>
        <v>0</v>
      </c>
      <c r="J1091" s="1" t="s">
        <v>219</v>
      </c>
      <c r="K1091" s="1" t="str">
        <f t="shared" si="82"/>
        <v/>
      </c>
      <c r="L1091" s="1" t="s">
        <v>8</v>
      </c>
      <c r="M1091" s="1" t="str">
        <f t="shared" si="87"/>
        <v/>
      </c>
      <c r="N1091" s="1"/>
      <c r="O1091" s="6" t="s">
        <v>3</v>
      </c>
      <c r="P1091"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1" s="3" t="s">
        <v>165</v>
      </c>
      <c r="R1091" s="91"/>
      <c r="S1091" s="90" t="s">
        <v>166</v>
      </c>
      <c r="T1091" s="90" t="str">
        <f t="shared" si="84"/>
        <v>At the moment, my wellness goal is still evolving.</v>
      </c>
      <c r="U1091" s="90" t="s">
        <v>167</v>
      </c>
      <c r="V1091" s="91" t="s">
        <v>3</v>
      </c>
      <c r="W1091" s="90" t="s">
        <v>168</v>
      </c>
      <c r="X1091" s="3" t="s">
        <v>3</v>
      </c>
      <c r="Y1091" s="90" t="str">
        <f t="shared" si="88"/>
        <v>Think about it for a while. I will get back to you when you're ready to decide to be more need-responsive and pursue greater wellness along with me. Thank you, 0, for everything.</v>
      </c>
      <c r="Z1091" s="3" t="s">
        <v>169</v>
      </c>
      <c r="AA1091" s="3">
        <f t="shared" si="89"/>
        <v>0</v>
      </c>
      <c r="AB1091" s="2" t="s">
        <v>170</v>
      </c>
      <c r="AE1091" s="90" t="str">
        <f t="shared" si="90"/>
        <v xml:space="preserve">Thank you, </v>
      </c>
      <c r="AF1091" s="3" t="s">
        <v>164</v>
      </c>
      <c r="AG1091" s="3" t="str">
        <f t="shared" si="92"/>
        <v/>
      </c>
      <c r="AH1091" s="3"/>
      <c r="AI1091" s="3" t="str">
        <f t="shared" si="85"/>
        <v/>
      </c>
      <c r="AJ1091" s="3"/>
      <c r="AK1091" s="3"/>
      <c r="AL1091" s="3"/>
      <c r="AM1091" s="3"/>
      <c r="CO1091" s="169"/>
      <c r="CP1091" s="171" t="s">
        <v>399</v>
      </c>
      <c r="CQ1091" s="171"/>
      <c r="CR1091" s="169"/>
      <c r="CS1091" s="169"/>
      <c r="CT1091" s="169"/>
      <c r="CU1091" s="169"/>
      <c r="CV1091" s="169"/>
      <c r="CW1091" s="169"/>
    </row>
    <row r="1092" spans="2:101" s="2" customFormat="1" hidden="1" x14ac:dyDescent="0.3">
      <c r="B1092" s="1">
        <v>16</v>
      </c>
      <c r="C1092" s="1" t="str">
        <f t="shared" si="81"/>
        <v/>
      </c>
      <c r="D1092" s="1"/>
      <c r="E1092" s="1"/>
      <c r="F1092" s="4" t="str">
        <f>CONCATENATE(H1092,I$1092,J1092,K1092,L1092,M1092)</f>
        <v xml:space="preserve">Thank you, 0, for participating in my wellness warmup exercise. Your preliminary responsiveness to needs scored %. </v>
      </c>
      <c r="G1092" s="1"/>
      <c r="H1092" s="3" t="s">
        <v>164</v>
      </c>
      <c r="I1092" s="1">
        <f t="shared" si="86"/>
        <v>0</v>
      </c>
      <c r="J1092" s="1" t="s">
        <v>219</v>
      </c>
      <c r="K1092" s="1" t="str">
        <f t="shared" si="82"/>
        <v/>
      </c>
      <c r="L1092" s="1" t="s">
        <v>8</v>
      </c>
      <c r="M1092" s="1" t="str">
        <f t="shared" si="87"/>
        <v/>
      </c>
      <c r="N1092" s="1"/>
      <c r="O1092" s="6" t="s">
        <v>3</v>
      </c>
      <c r="P1092"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2" s="3" t="s">
        <v>165</v>
      </c>
      <c r="R1092" s="91"/>
      <c r="S1092" s="90" t="s">
        <v>166</v>
      </c>
      <c r="T1092" s="90" t="str">
        <f t="shared" si="84"/>
        <v>At the moment, my wellness goal is still evolving.</v>
      </c>
      <c r="U1092" s="90" t="s">
        <v>167</v>
      </c>
      <c r="V1092" s="91" t="s">
        <v>3</v>
      </c>
      <c r="W1092" s="90" t="s">
        <v>168</v>
      </c>
      <c r="X1092" s="3" t="s">
        <v>3</v>
      </c>
      <c r="Y1092" s="90" t="str">
        <f t="shared" si="88"/>
        <v>Think about it for a while. I will get back to you when you're ready to decide to be more need-responsive and pursue greater wellness along with me. Thank you, 0, for everything.</v>
      </c>
      <c r="Z1092" s="3" t="s">
        <v>169</v>
      </c>
      <c r="AA1092" s="3">
        <f t="shared" si="89"/>
        <v>0</v>
      </c>
      <c r="AB1092" s="2" t="s">
        <v>170</v>
      </c>
      <c r="AE1092" s="90" t="str">
        <f t="shared" si="90"/>
        <v xml:space="preserve">Thank you, </v>
      </c>
      <c r="AF1092" s="3" t="s">
        <v>164</v>
      </c>
      <c r="AG1092" s="3" t="str">
        <f t="shared" si="92"/>
        <v/>
      </c>
      <c r="AH1092" s="3"/>
      <c r="AI1092" s="3" t="str">
        <f t="shared" si="85"/>
        <v/>
      </c>
      <c r="AJ1092" s="3"/>
      <c r="AK1092" s="3"/>
      <c r="AL1092" s="3"/>
      <c r="AM1092" s="3"/>
      <c r="CO1092" s="169"/>
      <c r="CP1092" s="171"/>
      <c r="CQ1092" s="171" t="e">
        <f ca="1">(BX1034*C149)/(CS1077-CR1077)</f>
        <v>#DIV/0!</v>
      </c>
      <c r="CR1092" s="169"/>
      <c r="CS1092" s="169"/>
      <c r="CT1092" s="169"/>
      <c r="CU1092" s="169"/>
      <c r="CV1092" s="169"/>
      <c r="CW1092" s="169"/>
    </row>
    <row r="1093" spans="2:101" s="2" customFormat="1" hidden="1" x14ac:dyDescent="0.3">
      <c r="B1093" s="1">
        <v>17</v>
      </c>
      <c r="C1093" s="1" t="str">
        <f t="shared" si="81"/>
        <v/>
      </c>
      <c r="D1093" s="1"/>
      <c r="E1093" s="1"/>
      <c r="F1093" s="4" t="str">
        <f>CONCATENATE(H1093,I$1093,J1093,K1093,L1093,M1093)</f>
        <v xml:space="preserve">Thank you, 0, for participating in my wellness warmup exercise. Your preliminary responsiveness to needs scored %. </v>
      </c>
      <c r="G1093" s="1"/>
      <c r="H1093" s="3" t="s">
        <v>164</v>
      </c>
      <c r="I1093" s="1">
        <f t="shared" si="86"/>
        <v>0</v>
      </c>
      <c r="J1093" s="1" t="s">
        <v>219</v>
      </c>
      <c r="K1093" s="1" t="str">
        <f t="shared" si="82"/>
        <v/>
      </c>
      <c r="L1093" s="1" t="s">
        <v>8</v>
      </c>
      <c r="M1093" s="1" t="str">
        <f t="shared" si="87"/>
        <v/>
      </c>
      <c r="N1093" s="1"/>
      <c r="O1093" s="6" t="s">
        <v>3</v>
      </c>
      <c r="P1093"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3" s="3" t="s">
        <v>165</v>
      </c>
      <c r="R1093" s="91"/>
      <c r="S1093" s="90" t="s">
        <v>166</v>
      </c>
      <c r="T1093" s="90" t="str">
        <f t="shared" si="84"/>
        <v>At the moment, my wellness goal is still evolving.</v>
      </c>
      <c r="U1093" s="90" t="s">
        <v>167</v>
      </c>
      <c r="V1093" s="91" t="s">
        <v>3</v>
      </c>
      <c r="W1093" s="90" t="s">
        <v>168</v>
      </c>
      <c r="X1093" s="3" t="s">
        <v>3</v>
      </c>
      <c r="Y1093" s="90" t="str">
        <f t="shared" si="88"/>
        <v>Think about it for a while. I will get back to you when you're ready to decide to be more need-responsive and pursue greater wellness along with me. Thank you, 0, for everything.</v>
      </c>
      <c r="Z1093" s="3" t="s">
        <v>169</v>
      </c>
      <c r="AA1093" s="3">
        <f t="shared" si="89"/>
        <v>0</v>
      </c>
      <c r="AB1093" s="2" t="s">
        <v>170</v>
      </c>
      <c r="AE1093" s="90" t="str">
        <f t="shared" si="90"/>
        <v xml:space="preserve">Thank you, </v>
      </c>
      <c r="AF1093" s="3" t="s">
        <v>164</v>
      </c>
      <c r="AG1093" s="3" t="str">
        <f t="shared" si="92"/>
        <v/>
      </c>
      <c r="AH1093" s="3"/>
      <c r="AI1093" s="3" t="str">
        <f t="shared" si="85"/>
        <v/>
      </c>
      <c r="AJ1093" s="3"/>
      <c r="AK1093" s="3"/>
      <c r="AL1093" s="3"/>
      <c r="AM1093" s="3"/>
      <c r="CP1093" s="171" t="s">
        <v>397</v>
      </c>
    </row>
    <row r="1094" spans="2:101" s="2" customFormat="1" hidden="1" x14ac:dyDescent="0.3">
      <c r="B1094" s="1">
        <v>18</v>
      </c>
      <c r="C1094" s="1" t="str">
        <f t="shared" si="81"/>
        <v/>
      </c>
      <c r="D1094" s="1"/>
      <c r="E1094" s="1"/>
      <c r="F1094" s="4" t="str">
        <f>CONCATENATE(H1094,I$1094,J1094,K1094,L1094,M1094)</f>
        <v xml:space="preserve">Thank you, 0, for participating in my wellness warmup exercise. Your preliminary responsiveness to needs scored %. </v>
      </c>
      <c r="G1094" s="1"/>
      <c r="H1094" s="3" t="s">
        <v>164</v>
      </c>
      <c r="I1094" s="1">
        <f t="shared" si="86"/>
        <v>0</v>
      </c>
      <c r="J1094" s="1" t="s">
        <v>219</v>
      </c>
      <c r="K1094" s="1" t="str">
        <f t="shared" si="82"/>
        <v/>
      </c>
      <c r="L1094" s="1" t="s">
        <v>8</v>
      </c>
      <c r="M1094" s="1" t="str">
        <f t="shared" si="87"/>
        <v/>
      </c>
      <c r="N1094" s="1"/>
      <c r="O1094" s="6" t="s">
        <v>3</v>
      </c>
      <c r="P1094"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4" s="3" t="s">
        <v>165</v>
      </c>
      <c r="R1094" s="91"/>
      <c r="S1094" s="90" t="s">
        <v>166</v>
      </c>
      <c r="T1094" s="90" t="str">
        <f t="shared" si="84"/>
        <v>At the moment, my wellness goal is still evolving.</v>
      </c>
      <c r="U1094" s="90" t="s">
        <v>167</v>
      </c>
      <c r="V1094" s="91" t="s">
        <v>3</v>
      </c>
      <c r="W1094" s="90" t="s">
        <v>168</v>
      </c>
      <c r="X1094" s="3" t="s">
        <v>3</v>
      </c>
      <c r="Y1094" s="90" t="str">
        <f t="shared" si="88"/>
        <v>Think about it for a while. I will get back to you when you're ready to decide to be more need-responsive and pursue greater wellness along with me. Thank you, 0, for everything.</v>
      </c>
      <c r="Z1094" s="3" t="s">
        <v>169</v>
      </c>
      <c r="AA1094" s="3">
        <f t="shared" si="89"/>
        <v>0</v>
      </c>
      <c r="AB1094" s="2" t="s">
        <v>170</v>
      </c>
      <c r="AE1094" s="90" t="str">
        <f t="shared" si="90"/>
        <v xml:space="preserve">Thank you, </v>
      </c>
      <c r="AF1094" s="3" t="s">
        <v>164</v>
      </c>
      <c r="AG1094" s="3" t="str">
        <f t="shared" si="92"/>
        <v/>
      </c>
      <c r="AH1094" s="3"/>
      <c r="AI1094" s="3" t="str">
        <f t="shared" si="85"/>
        <v/>
      </c>
      <c r="AJ1094" s="3"/>
      <c r="AK1094" s="3"/>
      <c r="AL1094" s="3"/>
      <c r="AM1094" s="3"/>
      <c r="CP1094" s="171"/>
    </row>
    <row r="1095" spans="2:101" s="2" customFormat="1" hidden="1" x14ac:dyDescent="0.3">
      <c r="B1095" s="1">
        <v>19</v>
      </c>
      <c r="C1095" s="1" t="str">
        <f t="shared" si="81"/>
        <v/>
      </c>
      <c r="D1095" s="1"/>
      <c r="E1095" s="1"/>
      <c r="F1095" s="4" t="str">
        <f>CONCATENATE(H1095,I$1095,J1095,K1095,L1095,M1095)</f>
        <v xml:space="preserve">Thank you, 0, for participating in my wellness warmup exercise. Your preliminary responsiveness to needs scored %. </v>
      </c>
      <c r="G1095" s="1"/>
      <c r="H1095" s="3" t="s">
        <v>164</v>
      </c>
      <c r="I1095" s="1">
        <f t="shared" si="86"/>
        <v>0</v>
      </c>
      <c r="J1095" s="1" t="s">
        <v>219</v>
      </c>
      <c r="K1095" s="1" t="str">
        <f t="shared" si="82"/>
        <v/>
      </c>
      <c r="L1095" s="1" t="s">
        <v>8</v>
      </c>
      <c r="M1095" s="1" t="str">
        <f t="shared" si="87"/>
        <v/>
      </c>
      <c r="N1095" s="1"/>
      <c r="O1095" s="6" t="s">
        <v>3</v>
      </c>
      <c r="P1095"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5" s="3" t="s">
        <v>165</v>
      </c>
      <c r="R1095" s="91"/>
      <c r="S1095" s="90" t="s">
        <v>166</v>
      </c>
      <c r="T1095" s="90" t="str">
        <f t="shared" si="84"/>
        <v>At the moment, my wellness goal is still evolving.</v>
      </c>
      <c r="U1095" s="90" t="s">
        <v>167</v>
      </c>
      <c r="V1095" s="91" t="s">
        <v>3</v>
      </c>
      <c r="W1095" s="90" t="s">
        <v>168</v>
      </c>
      <c r="X1095" s="3" t="s">
        <v>3</v>
      </c>
      <c r="Y1095" s="90" t="str">
        <f t="shared" si="88"/>
        <v>Think about it for a while. I will get back to you when you're ready to decide to be more need-responsive and pursue greater wellness along with me. Thank you, 0, for everything.</v>
      </c>
      <c r="Z1095" s="3" t="s">
        <v>169</v>
      </c>
      <c r="AA1095" s="3">
        <f t="shared" si="89"/>
        <v>0</v>
      </c>
      <c r="AB1095" s="2" t="s">
        <v>170</v>
      </c>
      <c r="AE1095" s="90" t="str">
        <f t="shared" si="90"/>
        <v xml:space="preserve">Thank you, </v>
      </c>
      <c r="AF1095" s="3" t="s">
        <v>164</v>
      </c>
      <c r="AG1095" s="3" t="str">
        <f t="shared" si="92"/>
        <v/>
      </c>
      <c r="AH1095" s="3"/>
      <c r="AI1095" s="3" t="str">
        <f t="shared" si="85"/>
        <v/>
      </c>
      <c r="AJ1095" s="3"/>
      <c r="AK1095" s="3"/>
      <c r="AL1095" s="3"/>
      <c r="AM1095" s="3"/>
    </row>
    <row r="1096" spans="2:101" s="2" customFormat="1" hidden="1" x14ac:dyDescent="0.3">
      <c r="B1096" s="1">
        <v>20</v>
      </c>
      <c r="C1096" s="1" t="str">
        <f t="shared" si="81"/>
        <v/>
      </c>
      <c r="D1096" s="1"/>
      <c r="E1096" s="1"/>
      <c r="F1096" s="4" t="str">
        <f>CONCATENATE(H1096,I$1096,J1096,K1096,L1096,M1096)</f>
        <v xml:space="preserve">Thank you, 0, for participating in my wellness warmup exercise. Your preliminary responsiveness to needs scored %. </v>
      </c>
      <c r="G1096" s="1"/>
      <c r="H1096" s="3" t="s">
        <v>164</v>
      </c>
      <c r="I1096" s="1">
        <f t="shared" si="86"/>
        <v>0</v>
      </c>
      <c r="J1096" s="1" t="s">
        <v>219</v>
      </c>
      <c r="K1096" s="1" t="str">
        <f t="shared" si="82"/>
        <v/>
      </c>
      <c r="L1096" s="1" t="s">
        <v>8</v>
      </c>
      <c r="M1096" s="1" t="str">
        <f t="shared" si="87"/>
        <v/>
      </c>
      <c r="N1096" s="1"/>
      <c r="O1096" s="6" t="s">
        <v>3</v>
      </c>
      <c r="P1096" s="90" t="str">
        <f t="shared" si="83"/>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Q1096" s="3" t="s">
        <v>165</v>
      </c>
      <c r="R1096" s="91"/>
      <c r="S1096" s="90" t="s">
        <v>166</v>
      </c>
      <c r="T1096" s="90" t="str">
        <f t="shared" si="84"/>
        <v>At the moment, my wellness goal is still evolving.</v>
      </c>
      <c r="U1096" s="90" t="s">
        <v>167</v>
      </c>
      <c r="V1096" s="91" t="s">
        <v>3</v>
      </c>
      <c r="W1096" s="90" t="s">
        <v>168</v>
      </c>
      <c r="X1096" s="3" t="s">
        <v>3</v>
      </c>
      <c r="Y1096" s="90" t="str">
        <f t="shared" si="88"/>
        <v>Think about it for a while. I will get back to you when you're ready to decide to be more need-responsive and pursue greater wellness along with me. Thank you, 0, for everything.</v>
      </c>
      <c r="Z1096" s="3" t="s">
        <v>169</v>
      </c>
      <c r="AA1096" s="3">
        <f t="shared" si="89"/>
        <v>0</v>
      </c>
      <c r="AB1096" s="2" t="s">
        <v>170</v>
      </c>
      <c r="AE1096" s="90" t="str">
        <f t="shared" si="90"/>
        <v xml:space="preserve">Thank you, </v>
      </c>
      <c r="AF1096" s="3" t="s">
        <v>164</v>
      </c>
      <c r="AG1096" s="3" t="str">
        <f t="shared" si="92"/>
        <v/>
      </c>
      <c r="AH1096" s="3"/>
      <c r="AI1096" s="3" t="str">
        <f t="shared" si="85"/>
        <v/>
      </c>
      <c r="AJ1096" s="3"/>
      <c r="AK1096" s="3"/>
      <c r="AL1096" s="3"/>
      <c r="AM1096" s="3"/>
    </row>
    <row r="1097" spans="2:101" s="2" customFormat="1" hidden="1" x14ac:dyDescent="0.3">
      <c r="B1097" s="1"/>
      <c r="C1097" s="1"/>
      <c r="D1097" s="1"/>
      <c r="E1097" s="1"/>
      <c r="F1097" s="4" t="s">
        <v>171</v>
      </c>
      <c r="G1097" s="1"/>
      <c r="H1097" s="3"/>
      <c r="I1097" s="1"/>
      <c r="J1097" s="1"/>
      <c r="K1097" s="1"/>
      <c r="L1097" s="1"/>
      <c r="M1097" s="1"/>
      <c r="N1097" s="1"/>
      <c r="O1097" s="6" t="s">
        <v>3</v>
      </c>
      <c r="P1097" s="4" t="s">
        <v>171</v>
      </c>
      <c r="R1097" s="91" t="s">
        <v>3</v>
      </c>
      <c r="S1097" s="4" t="s">
        <v>171</v>
      </c>
      <c r="T1097" s="4" t="s">
        <v>172</v>
      </c>
      <c r="U1097" s="4" t="s">
        <v>173</v>
      </c>
      <c r="V1097" s="91" t="s">
        <v>3</v>
      </c>
      <c r="W1097" s="4" t="s">
        <v>171</v>
      </c>
      <c r="X1097" s="3" t="s">
        <v>3</v>
      </c>
      <c r="Y1097" s="4" t="s">
        <v>171</v>
      </c>
      <c r="Z1097" s="3"/>
      <c r="AA1097" s="3"/>
      <c r="AH1097" s="3"/>
      <c r="AI1097" s="3"/>
      <c r="AJ1097" s="3"/>
      <c r="AK1097" s="3"/>
      <c r="AL1097" s="3"/>
      <c r="AM1097" s="3"/>
    </row>
    <row r="1098" spans="2:101" s="2" customFormat="1" hidden="1" x14ac:dyDescent="0.3">
      <c r="B1098" s="1"/>
      <c r="C1098" s="1"/>
      <c r="D1098" s="1"/>
      <c r="E1098" s="1"/>
      <c r="F1098" s="4" t="str">
        <f>IF($G$690=$C1077,F1077,IF($G$690=$C1078,F1078,IF($G$690=$C1079,F1079,IF($G$690=$C1080,F1080,IF($G$690=$C1081,F1081,IF($G$690=$C1082,F1082,IF($G$690=$C1083,F1083,IF($G$690=$C1084,F1084,IF($G$690=$C1085,F1085,IF($G$690=$C1086,F1086,IF($G$690=$C1087,F1087,IF($G$690=$C1088,F1088,IF($G$690=$C1089,F1089,IF($G$690=$C1090,F1090,IF($G$690=$C1091,F1091,IF($G$690=$C1092,F1092,IF($G$690=$C1093,F1093,IF($G$690=$C1094,F1094,IF($G$690=$C1095,F1095,IF($G$690=$C1096,F1096,IF($G$690="","")))))))))))))))))))))</f>
        <v xml:space="preserve">Thank you, 0, for participating in my wellness warmup exercise. Your preliminary responsiveness to needs scored %. </v>
      </c>
      <c r="G1098" s="1"/>
      <c r="H1098" s="3"/>
      <c r="I1098" s="1"/>
      <c r="J1098" s="1"/>
      <c r="K1098" s="1"/>
      <c r="L1098" s="1" t="s">
        <v>3</v>
      </c>
      <c r="M1098" s="1"/>
      <c r="N1098" s="1"/>
      <c r="O1098" s="6" t="s">
        <v>3</v>
      </c>
      <c r="P1098" s="4" t="str">
        <f>IF($G$690=$C1077,P1077,IF($G$690=$C1078,P1078,IF($G$690=$C1079,P1079,IF($G$690=$C1080,P1080,IF($G$690=$C1081,P1081,IF($G$690=$C1082,P1082,IF($G$690=$C1083,P1083,IF($G$690=$C1084,P1084,IF($G$690=$C1085,P1085,IF($G$690=$C1086,P1086,IF($G$690=$C1087,P1087,IF($G$690=$C1088,P1088,IF($G$690=$C1089,P1089,IF($G$690=$C1090,P1090,IF($G$690=$C1091,P1091,IF($G$690=$C1092,P1092,IF($G$690=$C1093,P1093,IF($G$690=$C1094,P1094,IF($G$690=$C1095,P1095,IF($G$690=$C1096,P1096,IF($G$690="","")))))))))))))))))))))</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R1098" s="91" t="s">
        <v>3</v>
      </c>
      <c r="S1098" s="4" t="str">
        <f>IF($G$690=$C1077,S1077,IF($G$690=$C1078,S1078,IF($G$690=$C1079,S1079,IF($G$690=$C1080,S1080,IF($G$690=$C1081,S1081,IF($G$690=$C1082,S1082,IF($G$690=$C1083,S1083,IF($G$690=$C1084,S1084,IF($G$690=$C1085,S1085,IF($G$690=$C1086,S1086,IF($G$690=$C1087,S1087,IF($G$690=$C1088,S1088,IF($G$690=$C1089,S1089,IF($G$690=$C1090,S1090,IF($G$690=$C1091,S1091,IF($G$690=$C1092,S1092,IF($G$690=$C1093,S1093,IF($G$690=$C1094,S1094,IF($G$690=$C1095,S1095,IF($G$690=$C1096,S1096,IF($G$690="","")))))))))))))))))))))</f>
        <v>I now invite you to support me in my full wellness campaign. I am growing a team to help me address my larger wellness goal:</v>
      </c>
      <c r="T1098" s="4" t="str">
        <f>IF($G$690=$C1077,T1077,IF($G$690=$C1078,T1078,IF($G$690=$C1079,T1079,IF($G$690=$C1080,T1080,IF($G$690=$C1081,T1081,IF($G$690=$C1082,T1082,IF($G$690=$C1083,T1083,IF($G$690=$C1084,T1084,IF($G$690=$C1085,T1085,IF($G$690=$C1086,T1086,IF($G$690=$C1087,T1087,IF($G$690=$C1088,T1088,IF($G$690=$C1089,T1089,IF($G$690=$C1090,T1090,IF($G$690=$C1091,T1091,IF($G$690=$C1092,T1092,IF($G$690=$C1093,T1093,IF($G$690=$C1094,T1094,IF($G$690=$C1095,T1095,IF($G$690=$C1096,T1096,IF($G$690="","")))))))))))))))))))))</f>
        <v>At the moment, my wellness goal is still evolving.</v>
      </c>
      <c r="U1098" s="4" t="str">
        <f>IF($G$690=$C1077,U1077,IF($G$690=$C1078,U1078,IF($G$690=$C1079,U1079,IF($G$690=$C1080,U1080,IF($G$690=$C1081,U1081,IF($G$690=$C1082,U1082,IF($G$690=$C1083,U1083,IF($G$690=$C1084,U1084,IF($G$690=$C1085,U1085,IF($G$690=$C1086,U1086,IF($G$690=$C1087,U1087,IF($G$690=$C1088,U1088,IF($G$690=$C1089,U1089,IF($G$690=$C1090,U1090,IF($G$690=$C1091,U1091,IF($G$690=$C1092,U1092,IF($G$690=$C1093,U1093,IF($G$690=$C1094,U1094,IF($G$690=$C1095,U1095,IF($G$690=$C1096,U1096,IF($G$690="","")))))))))))))))))))))</f>
        <v>Your support can increas my chances for success. And can help you see if this wellness approach is something you could use to reach such a lofty goal in your life.</v>
      </c>
      <c r="V1098" s="91" t="s">
        <v>3</v>
      </c>
      <c r="W1098" s="4" t="str">
        <f>IF($G$690=$C1077,W1077,IF($G$690=$C1078,W1078,IF($G$690=$C1079,W1079,IF($G$690=$C1080,W1080,IF($G$690=$C1081,W1081,IF($G$690=$C1082,W1082,IF($G$690=$C1083,W1083,IF($G$690=$C1084,W1084,IF($G$690=$C1085,W1085,IF($G$690=$C1086,W1086,IF($G$690=$C1087,W1087,IF($G$690=$C1088,W1088,IF($G$690=$C1089,W1089,IF($G$690=$C1090,W1090,IF($G$690=$C1091,W1091,IF($G$690=$C1092,W1092,IF($G$690=$C1093,W1093,IF($G$690=$C1094,W1094,IF($G$690=$C1095,W1095,IF($G$690=$C1096,W1096,IF($G$690="","")))))))))))))))))))))</f>
        <v>You start out as a "follower" for free. Later, you're offered the option to upgrade as a "patron" for just $50/month. Or upgrade as a "supporter" for only $25/month. Or stay as a follower for free. The more involved, the more you can get out of this campaign for yourself.</v>
      </c>
      <c r="X1098" s="3" t="s">
        <v>3</v>
      </c>
      <c r="Y1098" s="4" t="str">
        <f>IF($G$690=$C1077,Y1077,IF($G$690=$C1078,Y1078,IF($G$690=$C1079,Y1079,IF($G$690=$C1080,Y1080,IF($G$690=$C1081,Y1081,IF($G$690=$C1082,Y1082,IF($G$690=$C1083,Y1083,IF($G$690=$C1084,Y1084,IF($G$690=$C1085,Y1085,IF($G$690=$C1086,Y1086,IF($G$690=$C1087,Y1087,IF($G$690=$C1088,Y1088,IF($G$690=$C1089,Y1089,IF($G$690=$C1090,Y1090,IF($G$690=$C1091,Y1091,IF($G$690=$C1092,Y1092,IF($G$690=$C1093,Y1093,IF($G$690=$C1094,Y1094,IF($G$690=$C1095,Y1095,IF($G$690=$C1096,Y1096,IF($G$690="","")))))))))))))))))))))</f>
        <v>Think about it for a while. I will get back to you when you're ready to decide to be more need-responsive and pursue greater wellness along with me. Thank you, 0, for everything.</v>
      </c>
      <c r="Z1098" s="3"/>
      <c r="AA1098" s="3"/>
      <c r="AE1098" s="4" t="str">
        <f>IF($G$690=$C1077,AE1077,IF($G$690=$C1078,AE1078,IF($G$690=$C1079,AE1079,IF($G$690=$C1080,AE1080,IF($G$690=$C1081,AE1081,IF($G$690=$C1082,AE1082,IF($G$690=$C1083,AE1083,IF($G$690=$C1084,AE1084,IF($G$690=$C1085,AE1085,IF($G$690=$C1086,AE1086,IF($G$690=$C1087,AE1087,IF($G$690=$C1088,AE1088,IF($G$690=$C1089,AE1089,IF($G$690=$C1090,AE1090,IF($G$690=$C1091,AE1091,IF($G$690=$C1092,AE1092,IF($G$690=$C1093,AE1093,IF($G$690=$C1094,AE1094,IF($G$690=$C1095,AE1095,IF($G$690=$C1096,AE1096,IF($G$690="","")))))))))))))))))))))</f>
        <v xml:space="preserve">Thank you, </v>
      </c>
      <c r="AF1098" s="3" t="str">
        <f>IF('full warmup'!G690="","",'full warmup'!AE1098)</f>
        <v/>
      </c>
      <c r="AH1098" s="3"/>
      <c r="AI1098" s="3"/>
      <c r="AJ1098" s="3"/>
      <c r="AK1098" s="3"/>
      <c r="AL1098" s="3"/>
      <c r="AM1098" s="3"/>
    </row>
    <row r="1099" spans="2:101" s="2" customFormat="1" ht="13.5" hidden="1" thickBot="1" x14ac:dyDescent="0.35">
      <c r="B1099" s="1"/>
      <c r="C1099" s="1" t="s">
        <v>174</v>
      </c>
      <c r="D1099" s="1"/>
      <c r="E1099" s="1"/>
      <c r="F1099" s="4"/>
      <c r="G1099" s="1"/>
      <c r="H1099" s="3"/>
      <c r="I1099" s="1"/>
      <c r="J1099" s="1"/>
      <c r="K1099" s="1"/>
      <c r="L1099" s="1"/>
      <c r="M1099" s="90"/>
      <c r="N1099" s="3"/>
      <c r="O1099" s="3"/>
      <c r="P1099" s="91"/>
      <c r="Q1099" s="90"/>
      <c r="R1099" s="91"/>
      <c r="S1099" s="90"/>
      <c r="T1099" s="91"/>
      <c r="U1099" s="90"/>
      <c r="V1099" s="91"/>
      <c r="W1099" s="90"/>
      <c r="X1099" s="3"/>
      <c r="Y1099" s="90"/>
      <c r="Z1099" s="3"/>
      <c r="AA1099" s="3"/>
    </row>
    <row r="1100" spans="2:101" s="2" customFormat="1" ht="13.5" hidden="1" thickTop="1" x14ac:dyDescent="0.3">
      <c r="B1100" s="322"/>
      <c r="C1100" s="322"/>
      <c r="D1100" s="322"/>
      <c r="E1100" s="322"/>
      <c r="F1100" s="322"/>
      <c r="G1100" s="322"/>
      <c r="H1100" s="323"/>
      <c r="I1100" s="322"/>
      <c r="J1100" s="322"/>
      <c r="K1100" s="322"/>
      <c r="L1100" s="322"/>
      <c r="M1100" s="322"/>
      <c r="N1100" s="3"/>
      <c r="O1100" s="3"/>
      <c r="P1100" s="91"/>
      <c r="Q1100" s="90"/>
      <c r="R1100" s="91"/>
      <c r="S1100" s="90"/>
      <c r="T1100" s="91"/>
      <c r="U1100" s="90"/>
      <c r="V1100" s="91"/>
      <c r="W1100" s="90"/>
      <c r="X1100" s="3"/>
      <c r="Y1100" s="90"/>
      <c r="Z1100" s="3"/>
      <c r="AA1100" s="3"/>
    </row>
    <row r="1101" spans="2:101" s="2" customFormat="1" x14ac:dyDescent="0.3">
      <c r="B1101" s="1"/>
      <c r="C1101" s="1"/>
      <c r="D1101" s="1"/>
      <c r="E1101" s="1"/>
      <c r="F1101" s="4"/>
      <c r="G1101" s="1"/>
      <c r="H1101" s="3"/>
      <c r="I1101" s="1"/>
      <c r="J1101" s="1"/>
      <c r="K1101" s="1"/>
      <c r="L1101" s="1"/>
      <c r="M1101" s="90"/>
      <c r="N1101" s="3"/>
      <c r="O1101" s="3"/>
      <c r="P1101" s="91"/>
      <c r="Q1101" s="90"/>
      <c r="R1101" s="91"/>
      <c r="S1101" s="90"/>
      <c r="T1101" s="91"/>
      <c r="U1101" s="90"/>
      <c r="V1101" s="91"/>
      <c r="W1101" s="90"/>
      <c r="X1101" s="3"/>
      <c r="Y1101" s="90"/>
      <c r="Z1101" s="3"/>
      <c r="AA1101" s="3"/>
    </row>
    <row r="1102" spans="2:101" s="2" customFormat="1" x14ac:dyDescent="0.3">
      <c r="B1102" s="1"/>
      <c r="C1102" s="1"/>
      <c r="D1102" s="1"/>
      <c r="E1102" s="1"/>
      <c r="F1102" s="4"/>
      <c r="G1102" s="1"/>
      <c r="H1102" s="3"/>
      <c r="I1102" s="1"/>
      <c r="J1102" s="1"/>
      <c r="K1102" s="1"/>
      <c r="L1102" s="1"/>
      <c r="M1102" s="90"/>
      <c r="N1102" s="3"/>
      <c r="O1102" s="3"/>
      <c r="P1102" s="91"/>
      <c r="Q1102" s="90"/>
      <c r="R1102" s="91"/>
      <c r="S1102" s="90"/>
      <c r="T1102" s="91"/>
      <c r="U1102" s="90"/>
      <c r="V1102" s="91"/>
      <c r="W1102" s="90"/>
      <c r="X1102" s="3"/>
      <c r="Y1102" s="90"/>
      <c r="Z1102" s="3"/>
      <c r="AA1102" s="3"/>
    </row>
    <row r="1103" spans="2:101" s="2" customFormat="1" x14ac:dyDescent="0.3">
      <c r="B1103" s="1"/>
      <c r="C1103" s="1"/>
      <c r="D1103" s="1"/>
      <c r="E1103" s="1"/>
      <c r="F1103" s="4"/>
      <c r="G1103" s="1"/>
      <c r="H1103" s="3"/>
      <c r="I1103" s="1"/>
      <c r="J1103" s="1"/>
      <c r="K1103" s="1"/>
      <c r="L1103" s="1"/>
      <c r="M1103" s="90"/>
      <c r="N1103" s="3"/>
      <c r="O1103" s="3"/>
      <c r="P1103" s="91"/>
      <c r="Q1103" s="90"/>
      <c r="R1103" s="91"/>
      <c r="S1103" s="90"/>
      <c r="T1103" s="91"/>
      <c r="U1103" s="90"/>
      <c r="V1103" s="91"/>
      <c r="W1103" s="90"/>
      <c r="X1103" s="3"/>
      <c r="Y1103" s="90"/>
      <c r="Z1103" s="3"/>
      <c r="AA1103" s="3"/>
    </row>
    <row r="1104" spans="2:101" s="2" customFormat="1" x14ac:dyDescent="0.3">
      <c r="B1104" s="1"/>
      <c r="C1104" s="1"/>
      <c r="D1104" s="1"/>
      <c r="E1104" s="1"/>
      <c r="F1104" s="4"/>
      <c r="G1104" s="1"/>
      <c r="H1104" s="3"/>
      <c r="I1104" s="1"/>
      <c r="J1104" s="1"/>
      <c r="K1104" s="1"/>
      <c r="L1104" s="1"/>
      <c r="M1104" s="90"/>
      <c r="N1104" s="3"/>
      <c r="O1104" s="3"/>
      <c r="P1104" s="91"/>
      <c r="Q1104" s="90"/>
      <c r="R1104" s="91"/>
      <c r="S1104" s="90"/>
      <c r="T1104" s="91"/>
      <c r="U1104" s="90"/>
      <c r="V1104" s="91"/>
      <c r="W1104" s="90"/>
      <c r="X1104" s="3"/>
      <c r="Y1104" s="90"/>
      <c r="Z1104" s="3"/>
      <c r="AA1104" s="3"/>
    </row>
    <row r="1105" spans="2:27" s="2" customFormat="1" x14ac:dyDescent="0.3">
      <c r="B1105" s="1"/>
      <c r="C1105" s="1"/>
      <c r="D1105" s="1"/>
      <c r="E1105" s="1"/>
      <c r="F1105" s="4"/>
      <c r="G1105" s="1"/>
      <c r="H1105" s="3"/>
      <c r="I1105" s="1"/>
      <c r="J1105" s="1"/>
      <c r="K1105" s="1"/>
      <c r="L1105" s="1"/>
      <c r="M1105" s="90"/>
      <c r="N1105" s="3"/>
      <c r="O1105" s="3"/>
      <c r="P1105" s="91"/>
      <c r="Q1105" s="90"/>
      <c r="R1105" s="91"/>
      <c r="S1105" s="90"/>
      <c r="T1105" s="91"/>
      <c r="U1105" s="90"/>
      <c r="V1105" s="91"/>
      <c r="W1105" s="90"/>
      <c r="X1105" s="3"/>
      <c r="Y1105" s="90"/>
      <c r="Z1105" s="3"/>
      <c r="AA1105" s="3"/>
    </row>
    <row r="1106" spans="2:27" s="2" customFormat="1" x14ac:dyDescent="0.3">
      <c r="B1106" s="1"/>
      <c r="C1106" s="1"/>
      <c r="D1106" s="1"/>
      <c r="E1106" s="1"/>
      <c r="F1106" s="4"/>
      <c r="G1106" s="1"/>
      <c r="H1106" s="3"/>
      <c r="I1106" s="1"/>
      <c r="J1106" s="1"/>
      <c r="K1106" s="1"/>
      <c r="L1106" s="1"/>
      <c r="M1106" s="90"/>
      <c r="N1106" s="3"/>
      <c r="O1106" s="3"/>
      <c r="P1106" s="91"/>
      <c r="Q1106" s="90"/>
      <c r="R1106" s="91"/>
      <c r="S1106" s="90"/>
      <c r="T1106" s="91"/>
      <c r="U1106" s="90"/>
      <c r="V1106" s="91"/>
      <c r="W1106" s="90"/>
      <c r="X1106" s="3"/>
      <c r="Y1106" s="90"/>
      <c r="Z1106" s="3"/>
      <c r="AA1106" s="3"/>
    </row>
    <row r="1107" spans="2:27" s="2" customFormat="1" x14ac:dyDescent="0.3">
      <c r="B1107" s="1"/>
      <c r="C1107" s="1"/>
      <c r="D1107" s="1"/>
      <c r="E1107" s="1"/>
      <c r="F1107" s="4"/>
      <c r="G1107" s="1"/>
      <c r="H1107" s="3"/>
      <c r="I1107" s="1"/>
      <c r="J1107" s="1"/>
      <c r="K1107" s="1"/>
      <c r="L1107" s="1"/>
      <c r="M1107" s="90"/>
      <c r="N1107" s="3"/>
      <c r="O1107" s="3"/>
      <c r="P1107" s="91"/>
      <c r="Q1107" s="90"/>
      <c r="R1107" s="91"/>
      <c r="S1107" s="90"/>
      <c r="T1107" s="91"/>
      <c r="U1107" s="90"/>
      <c r="V1107" s="91"/>
      <c r="W1107" s="90"/>
      <c r="X1107" s="3"/>
      <c r="Y1107" s="90"/>
      <c r="Z1107" s="3"/>
      <c r="AA1107" s="3"/>
    </row>
    <row r="1108" spans="2:27" s="2" customFormat="1" x14ac:dyDescent="0.3">
      <c r="B1108" s="1"/>
      <c r="C1108" s="1"/>
      <c r="D1108" s="1"/>
      <c r="E1108" s="1"/>
      <c r="F1108" s="1"/>
      <c r="G1108" s="1"/>
      <c r="H1108" s="3"/>
      <c r="I1108" s="1"/>
      <c r="J1108" s="1"/>
      <c r="K1108" s="1"/>
      <c r="L1108" s="1"/>
      <c r="M1108" s="1"/>
    </row>
    <row r="1109" spans="2:27" s="2" customFormat="1" x14ac:dyDescent="0.3">
      <c r="B1109" s="1"/>
      <c r="C1109" s="1"/>
      <c r="D1109" s="1"/>
      <c r="E1109" s="1"/>
      <c r="F1109" s="1"/>
      <c r="G1109" s="1"/>
      <c r="H1109" s="3"/>
      <c r="I1109" s="1"/>
      <c r="J1109" s="1"/>
      <c r="K1109" s="1"/>
      <c r="L1109" s="1"/>
      <c r="M1109" s="1"/>
    </row>
    <row r="1110" spans="2:27" s="2" customFormat="1" x14ac:dyDescent="0.3">
      <c r="B1110" s="1"/>
      <c r="C1110" s="1"/>
      <c r="D1110" s="1"/>
      <c r="E1110" s="1"/>
      <c r="F1110" s="1"/>
      <c r="G1110" s="1"/>
      <c r="H1110" s="3"/>
      <c r="I1110" s="1"/>
      <c r="J1110" s="1"/>
      <c r="K1110" s="1"/>
      <c r="L1110" s="1"/>
      <c r="M1110" s="1"/>
    </row>
    <row r="1111" spans="2:27" s="2" customFormat="1" x14ac:dyDescent="0.3">
      <c r="B1111" s="1"/>
      <c r="C1111" s="1"/>
      <c r="D1111" s="1"/>
      <c r="E1111" s="1"/>
      <c r="F1111" s="1"/>
      <c r="G1111" s="1"/>
      <c r="H1111" s="3"/>
      <c r="I1111" s="1"/>
      <c r="J1111" s="1"/>
      <c r="K1111" s="1"/>
      <c r="L1111" s="1"/>
      <c r="M1111" s="1"/>
    </row>
    <row r="1112" spans="2:27" s="2" customFormat="1" x14ac:dyDescent="0.3">
      <c r="B1112" s="1"/>
      <c r="C1112" s="1"/>
      <c r="D1112" s="1"/>
      <c r="E1112" s="1"/>
      <c r="F1112" s="1"/>
      <c r="G1112" s="1"/>
      <c r="H1112" s="3"/>
      <c r="I1112" s="1"/>
      <c r="J1112" s="1"/>
      <c r="K1112" s="1"/>
      <c r="L1112" s="1"/>
      <c r="M1112" s="1"/>
    </row>
    <row r="1113" spans="2:27" s="2" customFormat="1" x14ac:dyDescent="0.3">
      <c r="B1113" s="1"/>
      <c r="C1113" s="1"/>
      <c r="D1113" s="1"/>
      <c r="E1113" s="1"/>
      <c r="F1113" s="1"/>
      <c r="G1113" s="1"/>
      <c r="H1113" s="3"/>
      <c r="I1113" s="1"/>
      <c r="J1113" s="1"/>
      <c r="K1113" s="1"/>
      <c r="L1113" s="1"/>
      <c r="M1113" s="1"/>
    </row>
    <row r="1114" spans="2:27" s="2" customFormat="1" x14ac:dyDescent="0.3">
      <c r="B1114" s="1"/>
      <c r="C1114" s="1"/>
      <c r="D1114" s="1"/>
      <c r="E1114" s="1"/>
      <c r="F1114" s="1"/>
      <c r="G1114" s="1"/>
      <c r="H1114" s="3"/>
      <c r="I1114" s="1"/>
      <c r="J1114" s="1"/>
      <c r="K1114" s="1"/>
      <c r="L1114" s="1"/>
      <c r="M1114" s="1"/>
    </row>
    <row r="1115" spans="2:27" s="2" customFormat="1" x14ac:dyDescent="0.3">
      <c r="B1115" s="1"/>
      <c r="C1115" s="1"/>
      <c r="D1115" s="1"/>
      <c r="E1115" s="1"/>
      <c r="F1115" s="1"/>
      <c r="G1115" s="1"/>
      <c r="H1115" s="3"/>
      <c r="I1115" s="1"/>
      <c r="J1115" s="1"/>
      <c r="K1115" s="1"/>
      <c r="L1115" s="1"/>
      <c r="M1115" s="1"/>
    </row>
    <row r="1116" spans="2:27" s="2" customFormat="1" x14ac:dyDescent="0.3">
      <c r="B1116" s="1"/>
      <c r="C1116" s="1"/>
      <c r="D1116" s="1"/>
      <c r="E1116" s="1"/>
      <c r="F1116" s="1"/>
      <c r="G1116" s="1"/>
      <c r="H1116" s="3"/>
      <c r="I1116" s="1"/>
      <c r="J1116" s="1"/>
      <c r="K1116" s="1"/>
      <c r="L1116" s="1"/>
      <c r="M1116" s="1"/>
    </row>
    <row r="1117" spans="2:27" s="2" customFormat="1" x14ac:dyDescent="0.3">
      <c r="B1117" s="1"/>
      <c r="C1117" s="1"/>
      <c r="D1117" s="1"/>
      <c r="E1117" s="1"/>
      <c r="F1117" s="1"/>
      <c r="G1117" s="1"/>
      <c r="H1117" s="3"/>
      <c r="I1117" s="1"/>
      <c r="J1117" s="1"/>
      <c r="K1117" s="1"/>
      <c r="L1117" s="1"/>
      <c r="M1117" s="1"/>
    </row>
    <row r="1118" spans="2:27" s="2" customFormat="1" x14ac:dyDescent="0.3">
      <c r="B1118" s="1"/>
      <c r="C1118" s="1"/>
      <c r="D1118" s="1"/>
      <c r="E1118" s="1"/>
      <c r="F1118" s="1"/>
      <c r="G1118" s="1"/>
      <c r="H1118" s="3"/>
      <c r="I1118" s="1"/>
      <c r="J1118" s="1"/>
      <c r="K1118" s="1"/>
      <c r="L1118" s="1"/>
      <c r="M1118" s="1"/>
    </row>
    <row r="1119" spans="2:27" s="2" customFormat="1" x14ac:dyDescent="0.3">
      <c r="B1119" s="1"/>
      <c r="C1119" s="1"/>
      <c r="D1119" s="1"/>
      <c r="E1119" s="1"/>
      <c r="F1119" s="1"/>
      <c r="G1119" s="1"/>
      <c r="H1119" s="3"/>
      <c r="I1119" s="1"/>
      <c r="J1119" s="1"/>
      <c r="K1119" s="1"/>
      <c r="L1119" s="1"/>
      <c r="M1119" s="1"/>
    </row>
    <row r="1120" spans="2:27" s="2" customFormat="1" x14ac:dyDescent="0.3">
      <c r="B1120" s="1"/>
      <c r="C1120" s="1"/>
      <c r="D1120" s="1"/>
      <c r="E1120" s="1"/>
      <c r="F1120" s="1"/>
      <c r="G1120" s="1"/>
      <c r="H1120" s="3"/>
      <c r="I1120" s="1"/>
      <c r="J1120" s="1"/>
      <c r="K1120" s="1"/>
      <c r="L1120" s="1"/>
      <c r="M1120" s="1"/>
    </row>
    <row r="1121" spans="2:13" s="2" customFormat="1" x14ac:dyDescent="0.3">
      <c r="B1121" s="1"/>
      <c r="C1121" s="1"/>
      <c r="D1121" s="1"/>
      <c r="E1121" s="1"/>
      <c r="F1121" s="1"/>
      <c r="G1121" s="1"/>
      <c r="H1121" s="3"/>
      <c r="I1121" s="1"/>
      <c r="J1121" s="1"/>
      <c r="K1121" s="1"/>
      <c r="L1121" s="1"/>
      <c r="M1121" s="1"/>
    </row>
    <row r="1122" spans="2:13" s="2" customFormat="1" x14ac:dyDescent="0.3">
      <c r="B1122" s="1"/>
      <c r="C1122" s="1"/>
      <c r="D1122" s="1"/>
      <c r="E1122" s="1"/>
      <c r="F1122" s="1"/>
      <c r="G1122" s="1"/>
      <c r="H1122" s="3"/>
      <c r="I1122" s="1"/>
      <c r="J1122" s="1"/>
      <c r="K1122" s="1"/>
      <c r="L1122" s="1"/>
      <c r="M1122" s="1"/>
    </row>
    <row r="1123" spans="2:13" s="2" customFormat="1" x14ac:dyDescent="0.3">
      <c r="B1123" s="1"/>
      <c r="C1123" s="1"/>
      <c r="D1123" s="1"/>
      <c r="E1123" s="1"/>
      <c r="F1123" s="1"/>
      <c r="G1123" s="1"/>
      <c r="H1123" s="3"/>
      <c r="I1123" s="1"/>
      <c r="J1123" s="1"/>
      <c r="K1123" s="1"/>
      <c r="L1123" s="1"/>
      <c r="M1123" s="1"/>
    </row>
    <row r="1124" spans="2:13" s="2" customFormat="1" x14ac:dyDescent="0.3">
      <c r="B1124" s="1"/>
      <c r="C1124" s="1"/>
      <c r="D1124" s="1"/>
      <c r="E1124" s="1"/>
      <c r="F1124" s="1"/>
      <c r="G1124" s="1"/>
      <c r="H1124" s="3"/>
      <c r="I1124" s="1"/>
      <c r="J1124" s="1"/>
      <c r="K1124" s="1"/>
      <c r="L1124" s="1"/>
      <c r="M1124" s="1"/>
    </row>
    <row r="1125" spans="2:13" s="2" customFormat="1" x14ac:dyDescent="0.3">
      <c r="B1125" s="1"/>
      <c r="C1125" s="1"/>
      <c r="D1125" s="1"/>
      <c r="E1125" s="1"/>
      <c r="F1125" s="1"/>
      <c r="G1125" s="1"/>
      <c r="H1125" s="3"/>
      <c r="I1125" s="1"/>
      <c r="J1125" s="1"/>
      <c r="K1125" s="1"/>
      <c r="L1125" s="1"/>
      <c r="M1125" s="1"/>
    </row>
    <row r="1126" spans="2:13" s="2" customFormat="1" x14ac:dyDescent="0.3">
      <c r="B1126" s="1"/>
      <c r="C1126" s="1"/>
      <c r="D1126" s="1"/>
      <c r="E1126" s="1"/>
      <c r="F1126" s="1"/>
      <c r="G1126" s="1"/>
      <c r="H1126" s="3"/>
      <c r="I1126" s="1"/>
      <c r="J1126" s="1"/>
      <c r="K1126" s="1"/>
      <c r="L1126" s="1"/>
      <c r="M1126" s="1"/>
    </row>
    <row r="1127" spans="2:13" s="2" customFormat="1" x14ac:dyDescent="0.3">
      <c r="B1127" s="1"/>
      <c r="C1127" s="1"/>
      <c r="D1127" s="1"/>
      <c r="E1127" s="1"/>
      <c r="F1127" s="1"/>
      <c r="G1127" s="1"/>
      <c r="H1127" s="3"/>
      <c r="I1127" s="1"/>
      <c r="J1127" s="1"/>
      <c r="K1127" s="1"/>
      <c r="L1127" s="1"/>
      <c r="M1127" s="1"/>
    </row>
    <row r="1128" spans="2:13" s="2" customFormat="1" x14ac:dyDescent="0.3">
      <c r="B1128" s="1"/>
      <c r="C1128" s="1"/>
      <c r="D1128" s="1"/>
      <c r="E1128" s="1"/>
      <c r="F1128" s="1"/>
      <c r="G1128" s="1"/>
      <c r="H1128" s="3"/>
      <c r="I1128" s="1"/>
      <c r="J1128" s="1"/>
      <c r="K1128" s="1"/>
      <c r="L1128" s="1"/>
      <c r="M1128" s="1"/>
    </row>
    <row r="1129" spans="2:13" s="2" customFormat="1" x14ac:dyDescent="0.3">
      <c r="B1129" s="1"/>
      <c r="C1129" s="1"/>
      <c r="D1129" s="1"/>
      <c r="E1129" s="1"/>
      <c r="F1129" s="1"/>
      <c r="G1129" s="1"/>
      <c r="H1129" s="3"/>
      <c r="I1129" s="1"/>
      <c r="J1129" s="1"/>
      <c r="K1129" s="1"/>
      <c r="L1129" s="1"/>
      <c r="M1129" s="1"/>
    </row>
    <row r="1130" spans="2:13" s="2" customFormat="1" x14ac:dyDescent="0.3">
      <c r="B1130" s="1"/>
      <c r="C1130" s="1"/>
      <c r="D1130" s="1"/>
      <c r="E1130" s="1"/>
      <c r="F1130" s="1"/>
      <c r="G1130" s="1"/>
      <c r="H1130" s="3"/>
      <c r="I1130" s="1"/>
      <c r="J1130" s="1"/>
      <c r="K1130" s="1"/>
      <c r="L1130" s="1"/>
      <c r="M1130" s="1"/>
    </row>
    <row r="1131" spans="2:13" s="2" customFormat="1" x14ac:dyDescent="0.3">
      <c r="B1131" s="1"/>
      <c r="C1131" s="1"/>
      <c r="D1131" s="1"/>
      <c r="E1131" s="1"/>
      <c r="F1131" s="1"/>
      <c r="G1131" s="1"/>
      <c r="H1131" s="3"/>
      <c r="I1131" s="1"/>
      <c r="J1131" s="1"/>
      <c r="K1131" s="1"/>
      <c r="L1131" s="1"/>
      <c r="M1131" s="1"/>
    </row>
    <row r="1132" spans="2:13" s="2" customFormat="1" x14ac:dyDescent="0.3">
      <c r="B1132" s="1"/>
      <c r="C1132" s="1"/>
      <c r="D1132" s="1"/>
      <c r="E1132" s="1"/>
      <c r="F1132" s="1"/>
      <c r="G1132" s="1"/>
      <c r="H1132" s="3"/>
      <c r="I1132" s="1"/>
      <c r="J1132" s="1"/>
      <c r="K1132" s="1"/>
      <c r="L1132" s="1"/>
      <c r="M1132" s="1"/>
    </row>
    <row r="1133" spans="2:13" s="2" customFormat="1" x14ac:dyDescent="0.3">
      <c r="B1133" s="1"/>
      <c r="C1133" s="1"/>
      <c r="D1133" s="1"/>
      <c r="E1133" s="1"/>
      <c r="F1133" s="1"/>
      <c r="G1133" s="1"/>
      <c r="H1133" s="3"/>
      <c r="I1133" s="1"/>
      <c r="J1133" s="1"/>
      <c r="K1133" s="1"/>
      <c r="L1133" s="1"/>
      <c r="M1133" s="1"/>
    </row>
    <row r="1134" spans="2:13" s="2" customFormat="1" x14ac:dyDescent="0.3">
      <c r="B1134" s="1"/>
      <c r="C1134" s="1"/>
      <c r="D1134" s="1"/>
      <c r="E1134" s="1"/>
      <c r="F1134" s="1"/>
      <c r="G1134" s="1"/>
      <c r="H1134" s="3"/>
      <c r="I1134" s="1"/>
      <c r="J1134" s="1"/>
      <c r="K1134" s="1"/>
      <c r="L1134" s="1"/>
      <c r="M1134" s="1"/>
    </row>
    <row r="1135" spans="2:13" s="2" customFormat="1" x14ac:dyDescent="0.3">
      <c r="B1135" s="1"/>
      <c r="C1135" s="1"/>
      <c r="D1135" s="1"/>
      <c r="E1135" s="1"/>
      <c r="F1135" s="1"/>
      <c r="G1135" s="1"/>
      <c r="H1135" s="3"/>
      <c r="I1135" s="1"/>
      <c r="J1135" s="1"/>
      <c r="K1135" s="1"/>
      <c r="L1135" s="1"/>
      <c r="M1135" s="1"/>
    </row>
    <row r="1136" spans="2:13" s="2" customFormat="1" x14ac:dyDescent="0.3">
      <c r="B1136" s="1"/>
      <c r="C1136" s="1"/>
      <c r="D1136" s="1"/>
      <c r="E1136" s="1"/>
      <c r="F1136" s="1"/>
      <c r="G1136" s="1"/>
      <c r="H1136" s="3"/>
      <c r="I1136" s="1"/>
      <c r="J1136" s="1"/>
      <c r="K1136" s="1"/>
      <c r="L1136" s="1"/>
      <c r="M1136" s="1"/>
    </row>
    <row r="1137" spans="2:13" s="2" customFormat="1" x14ac:dyDescent="0.3">
      <c r="B1137" s="1"/>
      <c r="C1137" s="1"/>
      <c r="D1137" s="1"/>
      <c r="E1137" s="1"/>
      <c r="F1137" s="1"/>
      <c r="G1137" s="1"/>
      <c r="H1137" s="3"/>
      <c r="I1137" s="1"/>
      <c r="J1137" s="1"/>
      <c r="K1137" s="1"/>
      <c r="L1137" s="1"/>
      <c r="M1137" s="1"/>
    </row>
    <row r="1138" spans="2:13" s="2" customFormat="1" x14ac:dyDescent="0.3">
      <c r="B1138" s="1"/>
      <c r="C1138" s="1"/>
      <c r="D1138" s="1"/>
      <c r="E1138" s="1"/>
      <c r="F1138" s="1"/>
      <c r="G1138" s="1"/>
      <c r="H1138" s="3"/>
      <c r="I1138" s="1"/>
      <c r="J1138" s="1"/>
      <c r="K1138" s="1"/>
      <c r="L1138" s="1"/>
      <c r="M1138" s="1"/>
    </row>
    <row r="1139" spans="2:13" s="2" customFormat="1" x14ac:dyDescent="0.3">
      <c r="B1139" s="1"/>
      <c r="C1139" s="1"/>
      <c r="D1139" s="1"/>
      <c r="E1139" s="1"/>
      <c r="F1139" s="1"/>
      <c r="G1139" s="1"/>
      <c r="H1139" s="3"/>
      <c r="I1139" s="1"/>
      <c r="J1139" s="1"/>
      <c r="K1139" s="1"/>
      <c r="L1139" s="1"/>
      <c r="M1139" s="1"/>
    </row>
    <row r="1140" spans="2:13" s="2" customFormat="1" x14ac:dyDescent="0.3">
      <c r="B1140" s="1"/>
      <c r="C1140" s="1"/>
      <c r="D1140" s="1"/>
      <c r="E1140" s="1"/>
      <c r="F1140" s="1"/>
      <c r="G1140" s="1"/>
      <c r="H1140" s="3"/>
      <c r="I1140" s="1"/>
      <c r="J1140" s="1"/>
      <c r="K1140" s="1"/>
      <c r="L1140" s="1"/>
      <c r="M1140" s="1"/>
    </row>
    <row r="1141" spans="2:13" s="2" customFormat="1" x14ac:dyDescent="0.3">
      <c r="B1141" s="1"/>
      <c r="C1141" s="1"/>
      <c r="D1141" s="1"/>
      <c r="E1141" s="1"/>
      <c r="F1141" s="1"/>
      <c r="G1141" s="1"/>
      <c r="H1141" s="3"/>
      <c r="I1141" s="1"/>
      <c r="J1141" s="1"/>
      <c r="K1141" s="1"/>
      <c r="L1141" s="1"/>
      <c r="M1141" s="1"/>
    </row>
    <row r="1142" spans="2:13" s="2" customFormat="1" x14ac:dyDescent="0.3">
      <c r="B1142" s="1"/>
      <c r="C1142" s="1"/>
      <c r="D1142" s="1"/>
      <c r="E1142" s="1"/>
      <c r="F1142" s="1"/>
      <c r="G1142" s="1"/>
      <c r="H1142" s="3"/>
      <c r="I1142" s="1"/>
      <c r="J1142" s="1"/>
      <c r="K1142" s="1"/>
      <c r="L1142" s="1"/>
      <c r="M1142" s="1"/>
    </row>
    <row r="1143" spans="2:13" s="2" customFormat="1" x14ac:dyDescent="0.3">
      <c r="B1143" s="1"/>
      <c r="C1143" s="1"/>
      <c r="D1143" s="1"/>
      <c r="E1143" s="1"/>
      <c r="F1143" s="1"/>
      <c r="G1143" s="1"/>
      <c r="H1143" s="3"/>
      <c r="I1143" s="1"/>
      <c r="J1143" s="1"/>
      <c r="K1143" s="1"/>
      <c r="L1143" s="1"/>
      <c r="M1143" s="1"/>
    </row>
    <row r="1144" spans="2:13" s="2" customFormat="1" x14ac:dyDescent="0.3">
      <c r="B1144" s="1"/>
      <c r="C1144" s="1"/>
      <c r="D1144" s="1"/>
      <c r="E1144" s="1"/>
      <c r="F1144" s="1"/>
      <c r="G1144" s="1"/>
      <c r="H1144" s="3"/>
      <c r="I1144" s="1"/>
      <c r="J1144" s="1"/>
      <c r="K1144" s="1"/>
      <c r="L1144" s="1"/>
      <c r="M1144" s="1"/>
    </row>
    <row r="1145" spans="2:13" s="2" customFormat="1" x14ac:dyDescent="0.3">
      <c r="B1145" s="1"/>
      <c r="C1145" s="1"/>
      <c r="D1145" s="1"/>
      <c r="E1145" s="1"/>
      <c r="F1145" s="1"/>
      <c r="G1145" s="1"/>
      <c r="H1145" s="3"/>
      <c r="I1145" s="1"/>
      <c r="J1145" s="1"/>
      <c r="K1145" s="1"/>
      <c r="L1145" s="1"/>
      <c r="M1145" s="1"/>
    </row>
  </sheetData>
  <mergeCells count="879">
    <mergeCell ref="B658:M658"/>
    <mergeCell ref="B662:M662"/>
    <mergeCell ref="B664:M664"/>
    <mergeCell ref="B666:M666"/>
    <mergeCell ref="B668:M668"/>
    <mergeCell ref="B670:M670"/>
    <mergeCell ref="B647:M647"/>
    <mergeCell ref="E5:L5"/>
    <mergeCell ref="B693:M693"/>
    <mergeCell ref="B656:M656"/>
    <mergeCell ref="B29:M29"/>
    <mergeCell ref="B51:M51"/>
    <mergeCell ref="B73:M73"/>
    <mergeCell ref="B95:M95"/>
    <mergeCell ref="B97:H97"/>
    <mergeCell ref="B31:G31"/>
    <mergeCell ref="B32:G32"/>
    <mergeCell ref="B33:G33"/>
    <mergeCell ref="B34:G34"/>
    <mergeCell ref="B53:G53"/>
    <mergeCell ref="B54:G54"/>
    <mergeCell ref="B55:G55"/>
    <mergeCell ref="B56:G56"/>
    <mergeCell ref="B75:G75"/>
    <mergeCell ref="B705:M705"/>
    <mergeCell ref="D706:L706"/>
    <mergeCell ref="B690:H690"/>
    <mergeCell ref="B627:M627"/>
    <mergeCell ref="B624:M624"/>
    <mergeCell ref="B629:M629"/>
    <mergeCell ref="B631:M631"/>
    <mergeCell ref="B633:M633"/>
    <mergeCell ref="B635:M635"/>
    <mergeCell ref="B637:M637"/>
    <mergeCell ref="B639:M639"/>
    <mergeCell ref="B641:M641"/>
    <mergeCell ref="B643:M643"/>
    <mergeCell ref="B645:M645"/>
    <mergeCell ref="B650:M650"/>
    <mergeCell ref="B652:M652"/>
    <mergeCell ref="B654:M654"/>
    <mergeCell ref="C679:G679"/>
    <mergeCell ref="I679:M679"/>
    <mergeCell ref="B686:M686"/>
    <mergeCell ref="B687:M687"/>
    <mergeCell ref="B692:M692"/>
    <mergeCell ref="B660:M660"/>
    <mergeCell ref="B682:M682"/>
    <mergeCell ref="B76:G76"/>
    <mergeCell ref="B77:G77"/>
    <mergeCell ref="B78:G78"/>
    <mergeCell ref="B98:G98"/>
    <mergeCell ref="B99:G99"/>
    <mergeCell ref="B100:G100"/>
    <mergeCell ref="B676:M676"/>
    <mergeCell ref="B677:M677"/>
    <mergeCell ref="B673:M673"/>
    <mergeCell ref="B142:M142"/>
    <mergeCell ref="C129:E129"/>
    <mergeCell ref="F129:H129"/>
    <mergeCell ref="C130:E130"/>
    <mergeCell ref="F130:H130"/>
    <mergeCell ref="C131:E131"/>
    <mergeCell ref="F131:H131"/>
    <mergeCell ref="B672:M672"/>
    <mergeCell ref="B674:M674"/>
    <mergeCell ref="B675:M675"/>
    <mergeCell ref="E140:M140"/>
    <mergeCell ref="C233:F233"/>
    <mergeCell ref="G233:I233"/>
    <mergeCell ref="J233:L233"/>
    <mergeCell ref="F236:M236"/>
    <mergeCell ref="L237:M237"/>
    <mergeCell ref="C238:D238"/>
    <mergeCell ref="F238:G238"/>
    <mergeCell ref="I238:J238"/>
    <mergeCell ref="L238:M238"/>
    <mergeCell ref="C226:E226"/>
    <mergeCell ref="F226:M226"/>
    <mergeCell ref="C227:F227"/>
    <mergeCell ref="G227:I227"/>
    <mergeCell ref="J227:L227"/>
    <mergeCell ref="C230:E230"/>
    <mergeCell ref="F230:M230"/>
    <mergeCell ref="C232:E232"/>
    <mergeCell ref="F232:M232"/>
    <mergeCell ref="E223:H223"/>
    <mergeCell ref="K223:M223"/>
    <mergeCell ref="C225:E225"/>
    <mergeCell ref="F225:M225"/>
    <mergeCell ref="C218:E218"/>
    <mergeCell ref="F218:H218"/>
    <mergeCell ref="I218:K218"/>
    <mergeCell ref="L218:M218"/>
    <mergeCell ref="L220:M220"/>
    <mergeCell ref="C221:D221"/>
    <mergeCell ref="F221:G221"/>
    <mergeCell ref="I221:J221"/>
    <mergeCell ref="L221:M221"/>
    <mergeCell ref="C194:E194"/>
    <mergeCell ref="I194:K194"/>
    <mergeCell ref="L194:M194"/>
    <mergeCell ref="L196:M196"/>
    <mergeCell ref="C197:D197"/>
    <mergeCell ref="F197:G197"/>
    <mergeCell ref="I197:J197"/>
    <mergeCell ref="L197:M197"/>
    <mergeCell ref="C222:D222"/>
    <mergeCell ref="E222:M222"/>
    <mergeCell ref="F208:M208"/>
    <mergeCell ref="C209:F209"/>
    <mergeCell ref="G209:I209"/>
    <mergeCell ref="J209:L209"/>
    <mergeCell ref="K199:M199"/>
    <mergeCell ref="C201:E201"/>
    <mergeCell ref="F201:M201"/>
    <mergeCell ref="C202:E202"/>
    <mergeCell ref="F202:M202"/>
    <mergeCell ref="C203:F203"/>
    <mergeCell ref="G203:I203"/>
    <mergeCell ref="J203:L203"/>
    <mergeCell ref="C182:E182"/>
    <mergeCell ref="F182:M182"/>
    <mergeCell ref="L172:M172"/>
    <mergeCell ref="C173:D173"/>
    <mergeCell ref="F173:G173"/>
    <mergeCell ref="I173:J173"/>
    <mergeCell ref="L173:M173"/>
    <mergeCell ref="C174:D174"/>
    <mergeCell ref="E174:M174"/>
    <mergeCell ref="K175:M175"/>
    <mergeCell ref="C177:E177"/>
    <mergeCell ref="F177:M177"/>
    <mergeCell ref="C166:D166"/>
    <mergeCell ref="F166:G166"/>
    <mergeCell ref="C122:E122"/>
    <mergeCell ref="F122:H122"/>
    <mergeCell ref="C178:E178"/>
    <mergeCell ref="F178:M178"/>
    <mergeCell ref="C179:F179"/>
    <mergeCell ref="G179:I179"/>
    <mergeCell ref="J179:L179"/>
    <mergeCell ref="C126:E126"/>
    <mergeCell ref="F126:H126"/>
    <mergeCell ref="C127:E127"/>
    <mergeCell ref="F127:H127"/>
    <mergeCell ref="C128:E128"/>
    <mergeCell ref="F128:H128"/>
    <mergeCell ref="C123:E123"/>
    <mergeCell ref="F123:H123"/>
    <mergeCell ref="C124:E124"/>
    <mergeCell ref="F124:H124"/>
    <mergeCell ref="C125:E125"/>
    <mergeCell ref="F125:H125"/>
    <mergeCell ref="C134:E134"/>
    <mergeCell ref="F134:H134"/>
    <mergeCell ref="C135:E135"/>
    <mergeCell ref="C159:E159"/>
    <mergeCell ref="F159:M159"/>
    <mergeCell ref="C160:E160"/>
    <mergeCell ref="F160:M160"/>
    <mergeCell ref="E150:M150"/>
    <mergeCell ref="C153:E153"/>
    <mergeCell ref="C154:E154"/>
    <mergeCell ref="F153:M153"/>
    <mergeCell ref="F154:M154"/>
    <mergeCell ref="C150:D150"/>
    <mergeCell ref="E151:H151"/>
    <mergeCell ref="A1:N1"/>
    <mergeCell ref="A2:N3"/>
    <mergeCell ref="B4:M4"/>
    <mergeCell ref="A6:N6"/>
    <mergeCell ref="A7:N7"/>
    <mergeCell ref="B9:M9"/>
    <mergeCell ref="A25:N25"/>
    <mergeCell ref="L149:M149"/>
    <mergeCell ref="K151:M151"/>
    <mergeCell ref="B114:M114"/>
    <mergeCell ref="B116:M116"/>
    <mergeCell ref="I149:J149"/>
    <mergeCell ref="I146:K146"/>
    <mergeCell ref="L146:M146"/>
    <mergeCell ref="C119:E119"/>
    <mergeCell ref="L148:M148"/>
    <mergeCell ref="F119:H119"/>
    <mergeCell ref="C120:E120"/>
    <mergeCell ref="F120:H120"/>
    <mergeCell ref="C121:E121"/>
    <mergeCell ref="F121:H121"/>
    <mergeCell ref="F135:H135"/>
    <mergeCell ref="C136:E136"/>
    <mergeCell ref="F136:H136"/>
    <mergeCell ref="C170:E170"/>
    <mergeCell ref="F170:H170"/>
    <mergeCell ref="F146:H146"/>
    <mergeCell ref="F149:G149"/>
    <mergeCell ref="C254:E254"/>
    <mergeCell ref="F254:M254"/>
    <mergeCell ref="C255:E255"/>
    <mergeCell ref="F255:M255"/>
    <mergeCell ref="L165:M165"/>
    <mergeCell ref="I166:J166"/>
    <mergeCell ref="L166:M166"/>
    <mergeCell ref="I170:K170"/>
    <mergeCell ref="L170:M170"/>
    <mergeCell ref="F164:M164"/>
    <mergeCell ref="J155:L155"/>
    <mergeCell ref="C155:F155"/>
    <mergeCell ref="G155:I155"/>
    <mergeCell ref="C161:F161"/>
    <mergeCell ref="G161:I161"/>
    <mergeCell ref="J161:L161"/>
    <mergeCell ref="C158:E158"/>
    <mergeCell ref="F158:M158"/>
    <mergeCell ref="C149:D149"/>
    <mergeCell ref="E175:H175"/>
    <mergeCell ref="C132:E132"/>
    <mergeCell ref="F132:H132"/>
    <mergeCell ref="C133:E133"/>
    <mergeCell ref="F133:H133"/>
    <mergeCell ref="C137:E137"/>
    <mergeCell ref="F137:H137"/>
    <mergeCell ref="C138:E138"/>
    <mergeCell ref="F138:H138"/>
    <mergeCell ref="C146:E146"/>
    <mergeCell ref="C183:E183"/>
    <mergeCell ref="F183:M183"/>
    <mergeCell ref="C184:E184"/>
    <mergeCell ref="F184:M184"/>
    <mergeCell ref="F212:M212"/>
    <mergeCell ref="C206:E206"/>
    <mergeCell ref="F206:M206"/>
    <mergeCell ref="C207:E207"/>
    <mergeCell ref="C231:E231"/>
    <mergeCell ref="F231:M231"/>
    <mergeCell ref="C185:F185"/>
    <mergeCell ref="G185:I185"/>
    <mergeCell ref="J185:L185"/>
    <mergeCell ref="F188:M188"/>
    <mergeCell ref="C190:D190"/>
    <mergeCell ref="L189:M189"/>
    <mergeCell ref="F190:G190"/>
    <mergeCell ref="I190:J190"/>
    <mergeCell ref="L190:M190"/>
    <mergeCell ref="L213:M213"/>
    <mergeCell ref="C214:D214"/>
    <mergeCell ref="F214:G214"/>
    <mergeCell ref="I214:J214"/>
    <mergeCell ref="L214:M214"/>
    <mergeCell ref="C581:D581"/>
    <mergeCell ref="F581:G581"/>
    <mergeCell ref="I581:J581"/>
    <mergeCell ref="C257:F257"/>
    <mergeCell ref="F194:H194"/>
    <mergeCell ref="F602:H602"/>
    <mergeCell ref="L598:M598"/>
    <mergeCell ref="C598:D598"/>
    <mergeCell ref="F598:G598"/>
    <mergeCell ref="I598:J598"/>
    <mergeCell ref="L597:M597"/>
    <mergeCell ref="F596:M596"/>
    <mergeCell ref="C593:F593"/>
    <mergeCell ref="G593:I593"/>
    <mergeCell ref="J593:L593"/>
    <mergeCell ref="E583:H583"/>
    <mergeCell ref="K583:M583"/>
    <mergeCell ref="C585:E585"/>
    <mergeCell ref="F585:M585"/>
    <mergeCell ref="C586:E586"/>
    <mergeCell ref="F586:M586"/>
    <mergeCell ref="C587:F587"/>
    <mergeCell ref="F207:M207"/>
    <mergeCell ref="C208:E208"/>
    <mergeCell ref="G587:I587"/>
    <mergeCell ref="J587:L587"/>
    <mergeCell ref="C590:E590"/>
    <mergeCell ref="F590:M590"/>
    <mergeCell ref="C591:E591"/>
    <mergeCell ref="F591:M591"/>
    <mergeCell ref="C592:E592"/>
    <mergeCell ref="F592:M592"/>
    <mergeCell ref="L604:M604"/>
    <mergeCell ref="L605:M605"/>
    <mergeCell ref="C605:D605"/>
    <mergeCell ref="F605:G605"/>
    <mergeCell ref="I605:J605"/>
    <mergeCell ref="C606:D606"/>
    <mergeCell ref="C198:D198"/>
    <mergeCell ref="E198:M198"/>
    <mergeCell ref="E199:H199"/>
    <mergeCell ref="C242:E242"/>
    <mergeCell ref="F242:H242"/>
    <mergeCell ref="I242:K242"/>
    <mergeCell ref="L242:M242"/>
    <mergeCell ref="L244:M244"/>
    <mergeCell ref="C245:D245"/>
    <mergeCell ref="F245:G245"/>
    <mergeCell ref="I245:J245"/>
    <mergeCell ref="L245:M245"/>
    <mergeCell ref="C246:D246"/>
    <mergeCell ref="E246:M246"/>
    <mergeCell ref="E247:H247"/>
    <mergeCell ref="K247:M247"/>
    <mergeCell ref="C249:E249"/>
    <mergeCell ref="F249:M249"/>
    <mergeCell ref="C250:E250"/>
    <mergeCell ref="F250:M250"/>
    <mergeCell ref="C251:F251"/>
    <mergeCell ref="G251:I251"/>
    <mergeCell ref="J251:L251"/>
    <mergeCell ref="G257:I257"/>
    <mergeCell ref="J257:L257"/>
    <mergeCell ref="F260:M260"/>
    <mergeCell ref="L261:M261"/>
    <mergeCell ref="C262:D262"/>
    <mergeCell ref="F262:G262"/>
    <mergeCell ref="I262:J262"/>
    <mergeCell ref="L262:M262"/>
    <mergeCell ref="C256:E256"/>
    <mergeCell ref="F256:M256"/>
    <mergeCell ref="K271:M271"/>
    <mergeCell ref="C273:E273"/>
    <mergeCell ref="F273:M273"/>
    <mergeCell ref="C274:E274"/>
    <mergeCell ref="F274:M274"/>
    <mergeCell ref="C275:F275"/>
    <mergeCell ref="G275:I275"/>
    <mergeCell ref="J275:L275"/>
    <mergeCell ref="C266:E266"/>
    <mergeCell ref="F266:H266"/>
    <mergeCell ref="I266:K266"/>
    <mergeCell ref="L266:M266"/>
    <mergeCell ref="L268:M268"/>
    <mergeCell ref="C269:D269"/>
    <mergeCell ref="F269:G269"/>
    <mergeCell ref="I269:J269"/>
    <mergeCell ref="L269:M269"/>
    <mergeCell ref="C290:E290"/>
    <mergeCell ref="F290:H290"/>
    <mergeCell ref="I290:K290"/>
    <mergeCell ref="L290:M290"/>
    <mergeCell ref="C278:E278"/>
    <mergeCell ref="F278:M278"/>
    <mergeCell ref="C279:E279"/>
    <mergeCell ref="F279:M279"/>
    <mergeCell ref="C280:E280"/>
    <mergeCell ref="F280:M280"/>
    <mergeCell ref="C281:F281"/>
    <mergeCell ref="G281:I281"/>
    <mergeCell ref="J281:L281"/>
    <mergeCell ref="L292:M292"/>
    <mergeCell ref="C293:D293"/>
    <mergeCell ref="F293:G293"/>
    <mergeCell ref="I293:J293"/>
    <mergeCell ref="L293:M293"/>
    <mergeCell ref="C294:D294"/>
    <mergeCell ref="E294:M294"/>
    <mergeCell ref="E295:H295"/>
    <mergeCell ref="K295:M295"/>
    <mergeCell ref="C297:E297"/>
    <mergeCell ref="F297:M297"/>
    <mergeCell ref="C298:E298"/>
    <mergeCell ref="F298:M298"/>
    <mergeCell ref="C299:F299"/>
    <mergeCell ref="G299:I299"/>
    <mergeCell ref="J299:L299"/>
    <mergeCell ref="C302:E302"/>
    <mergeCell ref="F302:M302"/>
    <mergeCell ref="C303:E303"/>
    <mergeCell ref="F303:M303"/>
    <mergeCell ref="C304:E304"/>
    <mergeCell ref="F304:M304"/>
    <mergeCell ref="C305:F305"/>
    <mergeCell ref="G305:I305"/>
    <mergeCell ref="J305:L305"/>
    <mergeCell ref="F308:M308"/>
    <mergeCell ref="L309:M309"/>
    <mergeCell ref="C310:D310"/>
    <mergeCell ref="F310:G310"/>
    <mergeCell ref="I310:J310"/>
    <mergeCell ref="L310:M310"/>
    <mergeCell ref="L314:M314"/>
    <mergeCell ref="C314:E314"/>
    <mergeCell ref="F314:H314"/>
    <mergeCell ref="I314:K314"/>
    <mergeCell ref="L316:M316"/>
    <mergeCell ref="L312:M312"/>
    <mergeCell ref="H311:M311"/>
    <mergeCell ref="C317:D317"/>
    <mergeCell ref="F317:G317"/>
    <mergeCell ref="I317:J317"/>
    <mergeCell ref="L317:M317"/>
    <mergeCell ref="C318:D318"/>
    <mergeCell ref="E318:M318"/>
    <mergeCell ref="E319:H319"/>
    <mergeCell ref="K319:M319"/>
    <mergeCell ref="C321:E321"/>
    <mergeCell ref="F321:M321"/>
    <mergeCell ref="C322:E322"/>
    <mergeCell ref="F322:M322"/>
    <mergeCell ref="C323:F323"/>
    <mergeCell ref="G323:I323"/>
    <mergeCell ref="J323:L323"/>
    <mergeCell ref="C326:E326"/>
    <mergeCell ref="F326:M326"/>
    <mergeCell ref="C327:E327"/>
    <mergeCell ref="F327:M327"/>
    <mergeCell ref="L340:M340"/>
    <mergeCell ref="C341:D341"/>
    <mergeCell ref="F341:G341"/>
    <mergeCell ref="I341:J341"/>
    <mergeCell ref="L341:M341"/>
    <mergeCell ref="C342:D342"/>
    <mergeCell ref="E342:M342"/>
    <mergeCell ref="E343:H343"/>
    <mergeCell ref="K343:M343"/>
    <mergeCell ref="C370:E370"/>
    <mergeCell ref="F370:M370"/>
    <mergeCell ref="C345:E345"/>
    <mergeCell ref="F345:M345"/>
    <mergeCell ref="C346:E346"/>
    <mergeCell ref="F346:M346"/>
    <mergeCell ref="C347:F347"/>
    <mergeCell ref="G347:I347"/>
    <mergeCell ref="J347:L347"/>
    <mergeCell ref="C350:E350"/>
    <mergeCell ref="F350:M350"/>
    <mergeCell ref="K367:M367"/>
    <mergeCell ref="C369:E369"/>
    <mergeCell ref="F369:M369"/>
    <mergeCell ref="C360:K360"/>
    <mergeCell ref="C351:E351"/>
    <mergeCell ref="F351:M351"/>
    <mergeCell ref="C352:E352"/>
    <mergeCell ref="F352:M352"/>
    <mergeCell ref="C353:F353"/>
    <mergeCell ref="G353:I353"/>
    <mergeCell ref="J353:L353"/>
    <mergeCell ref="F356:M356"/>
    <mergeCell ref="L357:M357"/>
    <mergeCell ref="C358:D358"/>
    <mergeCell ref="F358:G358"/>
    <mergeCell ref="I358:J358"/>
    <mergeCell ref="L358:M358"/>
    <mergeCell ref="L364:M364"/>
    <mergeCell ref="C365:D365"/>
    <mergeCell ref="F365:G365"/>
    <mergeCell ref="I365:J365"/>
    <mergeCell ref="L365:M365"/>
    <mergeCell ref="L388:M388"/>
    <mergeCell ref="C389:D389"/>
    <mergeCell ref="F389:G389"/>
    <mergeCell ref="I389:J389"/>
    <mergeCell ref="L389:M389"/>
    <mergeCell ref="C374:E374"/>
    <mergeCell ref="F374:M374"/>
    <mergeCell ref="C375:E375"/>
    <mergeCell ref="F375:M375"/>
    <mergeCell ref="C376:E376"/>
    <mergeCell ref="F376:M376"/>
    <mergeCell ref="C377:F377"/>
    <mergeCell ref="G377:I377"/>
    <mergeCell ref="J377:L377"/>
    <mergeCell ref="C384:K384"/>
    <mergeCell ref="C390:D390"/>
    <mergeCell ref="E390:M390"/>
    <mergeCell ref="E391:H391"/>
    <mergeCell ref="K391:M391"/>
    <mergeCell ref="C393:E393"/>
    <mergeCell ref="F393:M393"/>
    <mergeCell ref="C394:E394"/>
    <mergeCell ref="F394:M394"/>
    <mergeCell ref="C395:F395"/>
    <mergeCell ref="G395:I395"/>
    <mergeCell ref="J395:L395"/>
    <mergeCell ref="C398:E398"/>
    <mergeCell ref="F398:M398"/>
    <mergeCell ref="C399:E399"/>
    <mergeCell ref="F399:M399"/>
    <mergeCell ref="C400:E400"/>
    <mergeCell ref="F400:M400"/>
    <mergeCell ref="C401:F401"/>
    <mergeCell ref="G401:I401"/>
    <mergeCell ref="J401:L401"/>
    <mergeCell ref="F404:M404"/>
    <mergeCell ref="L405:M405"/>
    <mergeCell ref="C406:D406"/>
    <mergeCell ref="F406:G406"/>
    <mergeCell ref="I406:J406"/>
    <mergeCell ref="L406:M406"/>
    <mergeCell ref="L412:M412"/>
    <mergeCell ref="C413:D413"/>
    <mergeCell ref="F413:G413"/>
    <mergeCell ref="I413:J413"/>
    <mergeCell ref="L413:M413"/>
    <mergeCell ref="C410:E410"/>
    <mergeCell ref="F410:H410"/>
    <mergeCell ref="I410:K410"/>
    <mergeCell ref="L410:M410"/>
    <mergeCell ref="C408:K408"/>
    <mergeCell ref="C414:D414"/>
    <mergeCell ref="E414:M414"/>
    <mergeCell ref="E415:H415"/>
    <mergeCell ref="K415:M415"/>
    <mergeCell ref="C417:E417"/>
    <mergeCell ref="F417:M417"/>
    <mergeCell ref="C418:E418"/>
    <mergeCell ref="F418:M418"/>
    <mergeCell ref="C419:F419"/>
    <mergeCell ref="G419:I419"/>
    <mergeCell ref="J419:L419"/>
    <mergeCell ref="C422:E422"/>
    <mergeCell ref="F422:M422"/>
    <mergeCell ref="C423:E423"/>
    <mergeCell ref="F423:M423"/>
    <mergeCell ref="C424:E424"/>
    <mergeCell ref="F424:M424"/>
    <mergeCell ref="C425:F425"/>
    <mergeCell ref="G425:I425"/>
    <mergeCell ref="J425:L425"/>
    <mergeCell ref="F428:M428"/>
    <mergeCell ref="L429:M429"/>
    <mergeCell ref="C430:D430"/>
    <mergeCell ref="F430:G430"/>
    <mergeCell ref="I430:J430"/>
    <mergeCell ref="L430:M430"/>
    <mergeCell ref="L436:M436"/>
    <mergeCell ref="C437:D437"/>
    <mergeCell ref="F437:G437"/>
    <mergeCell ref="I437:J437"/>
    <mergeCell ref="L437:M437"/>
    <mergeCell ref="I434:K434"/>
    <mergeCell ref="L434:M434"/>
    <mergeCell ref="C434:E434"/>
    <mergeCell ref="F434:H434"/>
    <mergeCell ref="C432:K432"/>
    <mergeCell ref="C438:D438"/>
    <mergeCell ref="E438:M438"/>
    <mergeCell ref="E439:H439"/>
    <mergeCell ref="K439:M439"/>
    <mergeCell ref="C441:E441"/>
    <mergeCell ref="F441:M441"/>
    <mergeCell ref="C442:E442"/>
    <mergeCell ref="F442:M442"/>
    <mergeCell ref="C443:F443"/>
    <mergeCell ref="G443:I443"/>
    <mergeCell ref="J443:L443"/>
    <mergeCell ref="C446:E446"/>
    <mergeCell ref="F446:M446"/>
    <mergeCell ref="C447:E447"/>
    <mergeCell ref="F447:M447"/>
    <mergeCell ref="C448:E448"/>
    <mergeCell ref="F448:M448"/>
    <mergeCell ref="C449:F449"/>
    <mergeCell ref="G449:I449"/>
    <mergeCell ref="J449:L449"/>
    <mergeCell ref="F452:M452"/>
    <mergeCell ref="L453:M453"/>
    <mergeCell ref="C454:D454"/>
    <mergeCell ref="F454:G454"/>
    <mergeCell ref="I454:J454"/>
    <mergeCell ref="L454:M454"/>
    <mergeCell ref="L460:M460"/>
    <mergeCell ref="C461:D461"/>
    <mergeCell ref="F461:G461"/>
    <mergeCell ref="I461:J461"/>
    <mergeCell ref="L461:M461"/>
    <mergeCell ref="C458:E458"/>
    <mergeCell ref="F458:H458"/>
    <mergeCell ref="I458:K458"/>
    <mergeCell ref="L458:M458"/>
    <mergeCell ref="C456:K456"/>
    <mergeCell ref="C462:D462"/>
    <mergeCell ref="E462:M462"/>
    <mergeCell ref="E463:H463"/>
    <mergeCell ref="K463:M463"/>
    <mergeCell ref="C465:E465"/>
    <mergeCell ref="F465:M465"/>
    <mergeCell ref="C466:E466"/>
    <mergeCell ref="F466:M466"/>
    <mergeCell ref="C467:F467"/>
    <mergeCell ref="G467:I467"/>
    <mergeCell ref="J467:L467"/>
    <mergeCell ref="C470:E470"/>
    <mergeCell ref="F470:M470"/>
    <mergeCell ref="C471:E471"/>
    <mergeCell ref="F471:M471"/>
    <mergeCell ref="C472:E472"/>
    <mergeCell ref="F472:M472"/>
    <mergeCell ref="C473:F473"/>
    <mergeCell ref="G473:I473"/>
    <mergeCell ref="J473:L473"/>
    <mergeCell ref="F476:M476"/>
    <mergeCell ref="L477:M477"/>
    <mergeCell ref="C478:D478"/>
    <mergeCell ref="F478:G478"/>
    <mergeCell ref="I478:J478"/>
    <mergeCell ref="L478:M478"/>
    <mergeCell ref="L484:M484"/>
    <mergeCell ref="C485:D485"/>
    <mergeCell ref="F485:G485"/>
    <mergeCell ref="I485:J485"/>
    <mergeCell ref="L485:M485"/>
    <mergeCell ref="C482:E482"/>
    <mergeCell ref="F482:H482"/>
    <mergeCell ref="I482:K482"/>
    <mergeCell ref="L482:M482"/>
    <mergeCell ref="C480:K480"/>
    <mergeCell ref="C486:D486"/>
    <mergeCell ref="E486:M486"/>
    <mergeCell ref="E487:H487"/>
    <mergeCell ref="K487:M487"/>
    <mergeCell ref="C489:E489"/>
    <mergeCell ref="F489:M489"/>
    <mergeCell ref="C490:E490"/>
    <mergeCell ref="F490:M490"/>
    <mergeCell ref="C491:F491"/>
    <mergeCell ref="G491:I491"/>
    <mergeCell ref="J491:L491"/>
    <mergeCell ref="C494:E494"/>
    <mergeCell ref="F494:M494"/>
    <mergeCell ref="C495:E495"/>
    <mergeCell ref="F495:M495"/>
    <mergeCell ref="C496:E496"/>
    <mergeCell ref="F496:M496"/>
    <mergeCell ref="C497:F497"/>
    <mergeCell ref="G497:I497"/>
    <mergeCell ref="J497:L497"/>
    <mergeCell ref="F500:M500"/>
    <mergeCell ref="L501:M501"/>
    <mergeCell ref="C502:D502"/>
    <mergeCell ref="F502:G502"/>
    <mergeCell ref="I502:J502"/>
    <mergeCell ref="L502:M502"/>
    <mergeCell ref="L508:M508"/>
    <mergeCell ref="C509:D509"/>
    <mergeCell ref="F509:G509"/>
    <mergeCell ref="I509:J509"/>
    <mergeCell ref="L509:M509"/>
    <mergeCell ref="C506:E506"/>
    <mergeCell ref="F506:H506"/>
    <mergeCell ref="I506:K506"/>
    <mergeCell ref="L506:M506"/>
    <mergeCell ref="C510:D510"/>
    <mergeCell ref="E510:M510"/>
    <mergeCell ref="E511:H511"/>
    <mergeCell ref="K511:M511"/>
    <mergeCell ref="C513:E513"/>
    <mergeCell ref="F513:M513"/>
    <mergeCell ref="C514:E514"/>
    <mergeCell ref="F514:M514"/>
    <mergeCell ref="C515:F515"/>
    <mergeCell ref="G515:I515"/>
    <mergeCell ref="J515:L515"/>
    <mergeCell ref="C518:E518"/>
    <mergeCell ref="F518:M518"/>
    <mergeCell ref="C519:E519"/>
    <mergeCell ref="F519:M519"/>
    <mergeCell ref="C520:E520"/>
    <mergeCell ref="F520:M520"/>
    <mergeCell ref="C521:F521"/>
    <mergeCell ref="G521:I521"/>
    <mergeCell ref="J521:L521"/>
    <mergeCell ref="F524:M524"/>
    <mergeCell ref="L525:M525"/>
    <mergeCell ref="C526:D526"/>
    <mergeCell ref="F526:G526"/>
    <mergeCell ref="I526:J526"/>
    <mergeCell ref="L526:M526"/>
    <mergeCell ref="L532:M532"/>
    <mergeCell ref="C533:D533"/>
    <mergeCell ref="F533:G533"/>
    <mergeCell ref="I533:J533"/>
    <mergeCell ref="L533:M533"/>
    <mergeCell ref="C530:E530"/>
    <mergeCell ref="F530:H530"/>
    <mergeCell ref="I530:K530"/>
    <mergeCell ref="L530:M530"/>
    <mergeCell ref="C534:D534"/>
    <mergeCell ref="E534:M534"/>
    <mergeCell ref="E535:H535"/>
    <mergeCell ref="K535:M535"/>
    <mergeCell ref="C537:E537"/>
    <mergeCell ref="F537:M537"/>
    <mergeCell ref="C538:E538"/>
    <mergeCell ref="F538:M538"/>
    <mergeCell ref="C539:F539"/>
    <mergeCell ref="G539:I539"/>
    <mergeCell ref="J539:L539"/>
    <mergeCell ref="C542:E542"/>
    <mergeCell ref="F542:M542"/>
    <mergeCell ref="C543:E543"/>
    <mergeCell ref="F543:M543"/>
    <mergeCell ref="C544:E544"/>
    <mergeCell ref="F544:M544"/>
    <mergeCell ref="C545:F545"/>
    <mergeCell ref="G545:I545"/>
    <mergeCell ref="J545:L545"/>
    <mergeCell ref="C562:E562"/>
    <mergeCell ref="F562:M562"/>
    <mergeCell ref="C563:F563"/>
    <mergeCell ref="G563:I563"/>
    <mergeCell ref="J563:L563"/>
    <mergeCell ref="F548:M548"/>
    <mergeCell ref="L549:M549"/>
    <mergeCell ref="C550:D550"/>
    <mergeCell ref="F550:G550"/>
    <mergeCell ref="I550:J550"/>
    <mergeCell ref="L550:M550"/>
    <mergeCell ref="L556:M556"/>
    <mergeCell ref="C557:D557"/>
    <mergeCell ref="F557:G557"/>
    <mergeCell ref="I557:J557"/>
    <mergeCell ref="L557:M557"/>
    <mergeCell ref="C554:E554"/>
    <mergeCell ref="F554:H554"/>
    <mergeCell ref="I554:K554"/>
    <mergeCell ref="L554:M554"/>
    <mergeCell ref="L552:M552"/>
    <mergeCell ref="H551:M551"/>
    <mergeCell ref="F609:M609"/>
    <mergeCell ref="C610:E610"/>
    <mergeCell ref="F610:M610"/>
    <mergeCell ref="C611:F611"/>
    <mergeCell ref="G611:I611"/>
    <mergeCell ref="J611:L611"/>
    <mergeCell ref="F572:M572"/>
    <mergeCell ref="L573:M573"/>
    <mergeCell ref="C574:D574"/>
    <mergeCell ref="F574:G574"/>
    <mergeCell ref="I574:J574"/>
    <mergeCell ref="L574:M574"/>
    <mergeCell ref="L580:M580"/>
    <mergeCell ref="L581:M581"/>
    <mergeCell ref="C582:D582"/>
    <mergeCell ref="E582:M582"/>
    <mergeCell ref="C578:E578"/>
    <mergeCell ref="F578:H578"/>
    <mergeCell ref="I578:K578"/>
    <mergeCell ref="L578:M578"/>
    <mergeCell ref="E606:M606"/>
    <mergeCell ref="I602:K602"/>
    <mergeCell ref="L602:M602"/>
    <mergeCell ref="C602:E602"/>
    <mergeCell ref="F620:M620"/>
    <mergeCell ref="L621:M621"/>
    <mergeCell ref="C622:D622"/>
    <mergeCell ref="F622:G622"/>
    <mergeCell ref="I622:J622"/>
    <mergeCell ref="L622:M622"/>
    <mergeCell ref="C614:E614"/>
    <mergeCell ref="F614:M614"/>
    <mergeCell ref="C615:E615"/>
    <mergeCell ref="F615:M615"/>
    <mergeCell ref="C616:E616"/>
    <mergeCell ref="F616:M616"/>
    <mergeCell ref="C617:F617"/>
    <mergeCell ref="G617:I617"/>
    <mergeCell ref="J617:L617"/>
    <mergeCell ref="C338:E338"/>
    <mergeCell ref="F338:H338"/>
    <mergeCell ref="I338:K338"/>
    <mergeCell ref="L338:M338"/>
    <mergeCell ref="C362:E362"/>
    <mergeCell ref="F362:H362"/>
    <mergeCell ref="I362:K362"/>
    <mergeCell ref="L362:M362"/>
    <mergeCell ref="C386:E386"/>
    <mergeCell ref="F386:H386"/>
    <mergeCell ref="I386:K386"/>
    <mergeCell ref="L386:M386"/>
    <mergeCell ref="F380:M380"/>
    <mergeCell ref="L381:M381"/>
    <mergeCell ref="C382:D382"/>
    <mergeCell ref="F382:G382"/>
    <mergeCell ref="I382:J382"/>
    <mergeCell ref="L382:M382"/>
    <mergeCell ref="C366:D366"/>
    <mergeCell ref="E366:M366"/>
    <mergeCell ref="E367:H367"/>
    <mergeCell ref="C371:F371"/>
    <mergeCell ref="G371:I371"/>
    <mergeCell ref="J371:L371"/>
    <mergeCell ref="C118:E118"/>
    <mergeCell ref="F118:H118"/>
    <mergeCell ref="L168:M168"/>
    <mergeCell ref="L144:M144"/>
    <mergeCell ref="L192:M192"/>
    <mergeCell ref="L216:M216"/>
    <mergeCell ref="L240:M240"/>
    <mergeCell ref="L264:M264"/>
    <mergeCell ref="L288:M288"/>
    <mergeCell ref="H167:M167"/>
    <mergeCell ref="H191:M191"/>
    <mergeCell ref="H215:M215"/>
    <mergeCell ref="H239:M239"/>
    <mergeCell ref="H263:M263"/>
    <mergeCell ref="H287:M287"/>
    <mergeCell ref="F284:M284"/>
    <mergeCell ref="L285:M285"/>
    <mergeCell ref="C286:D286"/>
    <mergeCell ref="F286:G286"/>
    <mergeCell ref="I286:J286"/>
    <mergeCell ref="L286:M286"/>
    <mergeCell ref="C270:D270"/>
    <mergeCell ref="E270:M270"/>
    <mergeCell ref="E271:H271"/>
    <mergeCell ref="B683:M683"/>
    <mergeCell ref="B685:M685"/>
    <mergeCell ref="L576:M576"/>
    <mergeCell ref="L600:M600"/>
    <mergeCell ref="C600:K600"/>
    <mergeCell ref="C576:K576"/>
    <mergeCell ref="C552:K552"/>
    <mergeCell ref="C528:K528"/>
    <mergeCell ref="C504:K504"/>
    <mergeCell ref="C566:E566"/>
    <mergeCell ref="F566:M566"/>
    <mergeCell ref="C567:E567"/>
    <mergeCell ref="F567:M567"/>
    <mergeCell ref="C568:E568"/>
    <mergeCell ref="F568:M568"/>
    <mergeCell ref="C569:F569"/>
    <mergeCell ref="G569:I569"/>
    <mergeCell ref="J569:L569"/>
    <mergeCell ref="C558:D558"/>
    <mergeCell ref="E558:M558"/>
    <mergeCell ref="E559:H559"/>
    <mergeCell ref="K559:M559"/>
    <mergeCell ref="C561:E561"/>
    <mergeCell ref="F561:M561"/>
    <mergeCell ref="B93:M93"/>
    <mergeCell ref="B71:M71"/>
    <mergeCell ref="B49:M49"/>
    <mergeCell ref="B27:M27"/>
    <mergeCell ref="C336:K336"/>
    <mergeCell ref="C312:K312"/>
    <mergeCell ref="C288:K288"/>
    <mergeCell ref="C264:K264"/>
    <mergeCell ref="C240:K240"/>
    <mergeCell ref="C216:K216"/>
    <mergeCell ref="C192:K192"/>
    <mergeCell ref="C168:K168"/>
    <mergeCell ref="C144:K144"/>
    <mergeCell ref="C328:E328"/>
    <mergeCell ref="F328:M328"/>
    <mergeCell ref="C329:F329"/>
    <mergeCell ref="G329:I329"/>
    <mergeCell ref="J329:L329"/>
    <mergeCell ref="F332:M332"/>
    <mergeCell ref="L333:M333"/>
    <mergeCell ref="C334:D334"/>
    <mergeCell ref="F334:G334"/>
    <mergeCell ref="I334:J334"/>
    <mergeCell ref="L334:M334"/>
    <mergeCell ref="H575:M575"/>
    <mergeCell ref="H599:M599"/>
    <mergeCell ref="H623:M623"/>
    <mergeCell ref="H335:M335"/>
    <mergeCell ref="H359:M359"/>
    <mergeCell ref="H383:M383"/>
    <mergeCell ref="H407:M407"/>
    <mergeCell ref="H431:M431"/>
    <mergeCell ref="H455:M455"/>
    <mergeCell ref="H479:M479"/>
    <mergeCell ref="H503:M503"/>
    <mergeCell ref="H527:M527"/>
    <mergeCell ref="L336:M336"/>
    <mergeCell ref="L360:M360"/>
    <mergeCell ref="L384:M384"/>
    <mergeCell ref="L408:M408"/>
    <mergeCell ref="L432:M432"/>
    <mergeCell ref="L456:M456"/>
    <mergeCell ref="L480:M480"/>
    <mergeCell ref="L504:M504"/>
    <mergeCell ref="L528:M528"/>
    <mergeCell ref="E607:H607"/>
    <mergeCell ref="K607:M607"/>
    <mergeCell ref="C609:E609"/>
  </mergeCells>
  <phoneticPr fontId="41" type="noConversion"/>
  <conditionalFormatting sqref="B114 B115:M115 B117:M117 B118:C118 F118 B139:M139 B140:E140 B141:M141 B146:C146 F146 C148:L148">
    <cfRule type="containsText" dxfId="449" priority="918" operator="containsText" text="SELECT">
      <formula>NOT(ISERROR(SEARCH("SELECT",B114)))</formula>
    </cfRule>
  </conditionalFormatting>
  <conditionalFormatting sqref="B672">
    <cfRule type="containsText" dxfId="447" priority="377" operator="containsText" text="SELECT">
      <formula>NOT(ISERROR(SEARCH("SELECT",B672)))</formula>
    </cfRule>
  </conditionalFormatting>
  <conditionalFormatting sqref="B144:C144">
    <cfRule type="containsText" dxfId="446" priority="34" operator="containsText" text="SELECT">
      <formula>NOT(ISERROR(SEARCH("SELECT",B144)))</formula>
    </cfRule>
  </conditionalFormatting>
  <conditionalFormatting sqref="B168:C168">
    <cfRule type="containsText" dxfId="445" priority="33" operator="containsText" text="SELECT">
      <formula>NOT(ISERROR(SEARCH("SELECT",B168)))</formula>
    </cfRule>
  </conditionalFormatting>
  <conditionalFormatting sqref="B170 C172:L172">
    <cfRule type="containsText" dxfId="444" priority="910" operator="containsText" text="SELECT">
      <formula>NOT(ISERROR(SEARCH("SELECT",B170)))</formula>
    </cfRule>
  </conditionalFormatting>
  <conditionalFormatting sqref="B192:C192">
    <cfRule type="containsText" dxfId="443" priority="32" operator="containsText" text="SELECT">
      <formula>NOT(ISERROR(SEARCH("SELECT",B192)))</formula>
    </cfRule>
  </conditionalFormatting>
  <conditionalFormatting sqref="B194 C196:L196">
    <cfRule type="containsText" dxfId="442" priority="909" operator="containsText" text="SELECT">
      <formula>NOT(ISERROR(SEARCH("SELECT",B194)))</formula>
    </cfRule>
  </conditionalFormatting>
  <conditionalFormatting sqref="B216:C216">
    <cfRule type="containsText" dxfId="441" priority="31" operator="containsText" text="SELECT">
      <formula>NOT(ISERROR(SEARCH("SELECT",B216)))</formula>
    </cfRule>
  </conditionalFormatting>
  <conditionalFormatting sqref="B218:C218 C220:L220">
    <cfRule type="containsText" dxfId="440" priority="905" operator="containsText" text="SELECT">
      <formula>NOT(ISERROR(SEARCH("SELECT",B218)))</formula>
    </cfRule>
  </conditionalFormatting>
  <conditionalFormatting sqref="B240:C240">
    <cfRule type="containsText" dxfId="439" priority="30" operator="containsText" text="SELECT">
      <formula>NOT(ISERROR(SEARCH("SELECT",B240)))</formula>
    </cfRule>
  </conditionalFormatting>
  <conditionalFormatting sqref="B242 C244:L244">
    <cfRule type="containsText" dxfId="438" priority="900" operator="containsText" text="SELECT">
      <formula>NOT(ISERROR(SEARCH("SELECT",B242)))</formula>
    </cfRule>
  </conditionalFormatting>
  <conditionalFormatting sqref="B264:C264">
    <cfRule type="containsText" dxfId="437" priority="29" operator="containsText" text="SELECT">
      <formula>NOT(ISERROR(SEARCH("SELECT",B264)))</formula>
    </cfRule>
  </conditionalFormatting>
  <conditionalFormatting sqref="B266 C268:L268">
    <cfRule type="containsText" dxfId="436" priority="897" operator="containsText" text="SELECT">
      <formula>NOT(ISERROR(SEARCH("SELECT",B266)))</formula>
    </cfRule>
  </conditionalFormatting>
  <conditionalFormatting sqref="B288:C288">
    <cfRule type="containsText" dxfId="435" priority="28" operator="containsText" text="SELECT">
      <formula>NOT(ISERROR(SEARCH("SELECT",B288)))</formula>
    </cfRule>
  </conditionalFormatting>
  <conditionalFormatting sqref="B290 C292:L292">
    <cfRule type="containsText" dxfId="434" priority="894" operator="containsText" text="SELECT">
      <formula>NOT(ISERROR(SEARCH("SELECT",B290)))</formula>
    </cfRule>
  </conditionalFormatting>
  <conditionalFormatting sqref="B312:C312">
    <cfRule type="containsText" dxfId="433" priority="27" operator="containsText" text="SELECT">
      <formula>NOT(ISERROR(SEARCH("SELECT",B312)))</formula>
    </cfRule>
  </conditionalFormatting>
  <conditionalFormatting sqref="B314:C314">
    <cfRule type="containsText" dxfId="432" priority="866" operator="containsText" text="SELECT">
      <formula>NOT(ISERROR(SEARCH("SELECT",B314)))</formula>
    </cfRule>
  </conditionalFormatting>
  <conditionalFormatting sqref="B336:C336">
    <cfRule type="containsText" dxfId="431" priority="26" operator="containsText" text="SELECT">
      <formula>NOT(ISERROR(SEARCH("SELECT",B336)))</formula>
    </cfRule>
  </conditionalFormatting>
  <conditionalFormatting sqref="B338:C338">
    <cfRule type="containsText" dxfId="430" priority="823" operator="containsText" text="SELECT">
      <formula>NOT(ISERROR(SEARCH("SELECT",B338)))</formula>
    </cfRule>
  </conditionalFormatting>
  <conditionalFormatting sqref="B360:C360">
    <cfRule type="containsText" dxfId="429" priority="25" operator="containsText" text="SELECT">
      <formula>NOT(ISERROR(SEARCH("SELECT",B360)))</formula>
    </cfRule>
  </conditionalFormatting>
  <conditionalFormatting sqref="B362:C362">
    <cfRule type="containsText" dxfId="428" priority="820" operator="containsText" text="SELECT">
      <formula>NOT(ISERROR(SEARCH("SELECT",B362)))</formula>
    </cfRule>
  </conditionalFormatting>
  <conditionalFormatting sqref="B384:C384">
    <cfRule type="containsText" dxfId="427" priority="24" operator="containsText" text="SELECT">
      <formula>NOT(ISERROR(SEARCH("SELECT",B384)))</formula>
    </cfRule>
  </conditionalFormatting>
  <conditionalFormatting sqref="B386:C386">
    <cfRule type="containsText" dxfId="426" priority="817" operator="containsText" text="SELECT">
      <formula>NOT(ISERROR(SEARCH("SELECT",B386)))</formula>
    </cfRule>
  </conditionalFormatting>
  <conditionalFormatting sqref="B408:C408">
    <cfRule type="containsText" dxfId="425" priority="23" operator="containsText" text="SELECT">
      <formula>NOT(ISERROR(SEARCH("SELECT",B408)))</formula>
    </cfRule>
  </conditionalFormatting>
  <conditionalFormatting sqref="B410:C410">
    <cfRule type="containsText" dxfId="424" priority="814" operator="containsText" text="SELECT">
      <formula>NOT(ISERROR(SEARCH("SELECT",B410)))</formula>
    </cfRule>
  </conditionalFormatting>
  <conditionalFormatting sqref="B432:C432">
    <cfRule type="containsText" dxfId="423" priority="22" operator="containsText" text="SELECT">
      <formula>NOT(ISERROR(SEARCH("SELECT",B432)))</formula>
    </cfRule>
  </conditionalFormatting>
  <conditionalFormatting sqref="B434:C434">
    <cfRule type="containsText" dxfId="422" priority="811" operator="containsText" text="SELECT">
      <formula>NOT(ISERROR(SEARCH("SELECT",B434)))</formula>
    </cfRule>
  </conditionalFormatting>
  <conditionalFormatting sqref="B456:C456">
    <cfRule type="containsText" dxfId="421" priority="21" operator="containsText" text="SELECT">
      <formula>NOT(ISERROR(SEARCH("SELECT",B456)))</formula>
    </cfRule>
  </conditionalFormatting>
  <conditionalFormatting sqref="B458:C458">
    <cfRule type="containsText" dxfId="420" priority="808" operator="containsText" text="SELECT">
      <formula>NOT(ISERROR(SEARCH("SELECT",B458)))</formula>
    </cfRule>
  </conditionalFormatting>
  <conditionalFormatting sqref="B480:C480">
    <cfRule type="containsText" dxfId="419" priority="20" operator="containsText" text="SELECT">
      <formula>NOT(ISERROR(SEARCH("SELECT",B480)))</formula>
    </cfRule>
  </conditionalFormatting>
  <conditionalFormatting sqref="B482:C482">
    <cfRule type="containsText" dxfId="418" priority="805" operator="containsText" text="SELECT">
      <formula>NOT(ISERROR(SEARCH("SELECT",B482)))</formula>
    </cfRule>
  </conditionalFormatting>
  <conditionalFormatting sqref="B504:C504">
    <cfRule type="containsText" dxfId="417" priority="19" operator="containsText" text="SELECT">
      <formula>NOT(ISERROR(SEARCH("SELECT",B504)))</formula>
    </cfRule>
  </conditionalFormatting>
  <conditionalFormatting sqref="B506:C506">
    <cfRule type="containsText" dxfId="416" priority="802" operator="containsText" text="SELECT">
      <formula>NOT(ISERROR(SEARCH("SELECT",B506)))</formula>
    </cfRule>
  </conditionalFormatting>
  <conditionalFormatting sqref="B528:C528">
    <cfRule type="containsText" dxfId="415" priority="18" operator="containsText" text="SELECT">
      <formula>NOT(ISERROR(SEARCH("SELECT",B528)))</formula>
    </cfRule>
  </conditionalFormatting>
  <conditionalFormatting sqref="B530:C530">
    <cfRule type="containsText" dxfId="414" priority="799" operator="containsText" text="SELECT">
      <formula>NOT(ISERROR(SEARCH("SELECT",B530)))</formula>
    </cfRule>
  </conditionalFormatting>
  <conditionalFormatting sqref="B552:C552">
    <cfRule type="containsText" dxfId="413" priority="17" operator="containsText" text="SELECT">
      <formula>NOT(ISERROR(SEARCH("SELECT",B552)))</formula>
    </cfRule>
  </conditionalFormatting>
  <conditionalFormatting sqref="B554:C554">
    <cfRule type="containsText" dxfId="412" priority="796" operator="containsText" text="SELECT">
      <formula>NOT(ISERROR(SEARCH("SELECT",B554)))</formula>
    </cfRule>
  </conditionalFormatting>
  <conditionalFormatting sqref="B576:C576">
    <cfRule type="containsText" dxfId="411" priority="16" operator="containsText" text="SELECT">
      <formula>NOT(ISERROR(SEARCH("SELECT",B576)))</formula>
    </cfRule>
  </conditionalFormatting>
  <conditionalFormatting sqref="B578:C578">
    <cfRule type="containsText" dxfId="410" priority="793" operator="containsText" text="SELECT">
      <formula>NOT(ISERROR(SEARCH("SELECT",B578)))</formula>
    </cfRule>
  </conditionalFormatting>
  <conditionalFormatting sqref="B600:C600">
    <cfRule type="containsText" dxfId="409" priority="15" operator="containsText" text="SELECT">
      <formula>NOT(ISERROR(SEARCH("SELECT",B600)))</formula>
    </cfRule>
  </conditionalFormatting>
  <conditionalFormatting sqref="B602:C602">
    <cfRule type="containsText" dxfId="408" priority="790" operator="containsText" text="SELECT">
      <formula>NOT(ISERROR(SEARCH("SELECT",B602)))</formula>
    </cfRule>
  </conditionalFormatting>
  <conditionalFormatting sqref="B143:M143 B145:M145">
    <cfRule type="containsText" dxfId="406" priority="622" operator="containsText" text="SELECT">
      <formula>NOT(ISERROR(SEARCH("SELECT",B143)))</formula>
    </cfRule>
  </conditionalFormatting>
  <conditionalFormatting sqref="B169:M169">
    <cfRule type="containsText" dxfId="405" priority="602" operator="containsText" text="SELECT">
      <formula>NOT(ISERROR(SEARCH("SELECT",B169)))</formula>
    </cfRule>
  </conditionalFormatting>
  <conditionalFormatting sqref="B193:M193">
    <cfRule type="containsText" dxfId="404" priority="603" operator="containsText" text="SELECT">
      <formula>NOT(ISERROR(SEARCH("SELECT",B193)))</formula>
    </cfRule>
  </conditionalFormatting>
  <conditionalFormatting sqref="B217:M217">
    <cfRule type="containsText" dxfId="403" priority="604" operator="containsText" text="SELECT">
      <formula>NOT(ISERROR(SEARCH("SELECT",B217)))</formula>
    </cfRule>
  </conditionalFormatting>
  <conditionalFormatting sqref="B241:M241">
    <cfRule type="containsText" dxfId="402" priority="605" operator="containsText" text="SELECT">
      <formula>NOT(ISERROR(SEARCH("SELECT",B241)))</formula>
    </cfRule>
  </conditionalFormatting>
  <conditionalFormatting sqref="B265:M265">
    <cfRule type="containsText" dxfId="401" priority="606" operator="containsText" text="SELECT">
      <formula>NOT(ISERROR(SEARCH("SELECT",B265)))</formula>
    </cfRule>
  </conditionalFormatting>
  <conditionalFormatting sqref="B289:M289">
    <cfRule type="containsText" dxfId="400" priority="607" operator="containsText" text="SELECT">
      <formula>NOT(ISERROR(SEARCH("SELECT",B289)))</formula>
    </cfRule>
  </conditionalFormatting>
  <conditionalFormatting sqref="B313:M313">
    <cfRule type="containsText" dxfId="399" priority="608" operator="containsText" text="SELECT">
      <formula>NOT(ISERROR(SEARCH("SELECT",B313)))</formula>
    </cfRule>
  </conditionalFormatting>
  <conditionalFormatting sqref="B337:M337">
    <cfRule type="containsText" dxfId="398" priority="609" operator="containsText" text="SELECT">
      <formula>NOT(ISERROR(SEARCH("SELECT",B337)))</formula>
    </cfRule>
  </conditionalFormatting>
  <conditionalFormatting sqref="B361:M361">
    <cfRule type="containsText" dxfId="397" priority="610" operator="containsText" text="SELECT">
      <formula>NOT(ISERROR(SEARCH("SELECT",B361)))</formula>
    </cfRule>
  </conditionalFormatting>
  <conditionalFormatting sqref="B385:M385">
    <cfRule type="containsText" dxfId="396" priority="611" operator="containsText" text="SELECT">
      <formula>NOT(ISERROR(SEARCH("SELECT",B385)))</formula>
    </cfRule>
  </conditionalFormatting>
  <conditionalFormatting sqref="B409:M409">
    <cfRule type="containsText" dxfId="395" priority="612" operator="containsText" text="SELECT">
      <formula>NOT(ISERROR(SEARCH("SELECT",B409)))</formula>
    </cfRule>
  </conditionalFormatting>
  <conditionalFormatting sqref="B433:M433">
    <cfRule type="containsText" dxfId="394" priority="613" operator="containsText" text="SELECT">
      <formula>NOT(ISERROR(SEARCH("SELECT",B433)))</formula>
    </cfRule>
  </conditionalFormatting>
  <conditionalFormatting sqref="B457:M457">
    <cfRule type="containsText" dxfId="393" priority="614" operator="containsText" text="SELECT">
      <formula>NOT(ISERROR(SEARCH("SELECT",B457)))</formula>
    </cfRule>
  </conditionalFormatting>
  <conditionalFormatting sqref="B481:M481">
    <cfRule type="containsText" dxfId="392" priority="615" operator="containsText" text="SELECT">
      <formula>NOT(ISERROR(SEARCH("SELECT",B481)))</formula>
    </cfRule>
  </conditionalFormatting>
  <conditionalFormatting sqref="B505:M505">
    <cfRule type="containsText" dxfId="391" priority="616" operator="containsText" text="SELECT">
      <formula>NOT(ISERROR(SEARCH("SELECT",B505)))</formula>
    </cfRule>
  </conditionalFormatting>
  <conditionalFormatting sqref="B529:M529">
    <cfRule type="containsText" dxfId="390" priority="617" operator="containsText" text="SELECT">
      <formula>NOT(ISERROR(SEARCH("SELECT",B529)))</formula>
    </cfRule>
  </conditionalFormatting>
  <conditionalFormatting sqref="B553:M553">
    <cfRule type="containsText" dxfId="389" priority="618" operator="containsText" text="SELECT">
      <formula>NOT(ISERROR(SEARCH("SELECT",B553)))</formula>
    </cfRule>
  </conditionalFormatting>
  <conditionalFormatting sqref="B577:M577">
    <cfRule type="containsText" dxfId="388" priority="620" operator="containsText" text="SELECT">
      <formula>NOT(ISERROR(SEARCH("SELECT",B577)))</formula>
    </cfRule>
  </conditionalFormatting>
  <conditionalFormatting sqref="B601:M601">
    <cfRule type="containsText" dxfId="387" priority="619" operator="containsText" text="SELECT">
      <formula>NOT(ISERROR(SEARCH("SELECT",B601)))</formula>
    </cfRule>
  </conditionalFormatting>
  <conditionalFormatting sqref="C144">
    <cfRule type="containsText" dxfId="384" priority="74" operator="containsText" text="Invitee">
      <formula>NOT(ISERROR(SEARCH("Invitee",C144)))</formula>
    </cfRule>
  </conditionalFormatting>
  <conditionalFormatting sqref="C168">
    <cfRule type="containsText" dxfId="383" priority="72" operator="containsText" text="Invitee">
      <formula>NOT(ISERROR(SEARCH("Invitee",C168)))</formula>
    </cfRule>
  </conditionalFormatting>
  <conditionalFormatting sqref="C192">
    <cfRule type="containsText" dxfId="382" priority="70" operator="containsText" text="Invitee">
      <formula>NOT(ISERROR(SEARCH("Invitee",C192)))</formula>
    </cfRule>
  </conditionalFormatting>
  <conditionalFormatting sqref="C216">
    <cfRule type="containsText" dxfId="381" priority="68" operator="containsText" text="Invitee">
      <formula>NOT(ISERROR(SEARCH("Invitee",C216)))</formula>
    </cfRule>
  </conditionalFormatting>
  <conditionalFormatting sqref="C240">
    <cfRule type="containsText" dxfId="380" priority="66" operator="containsText" text="Invitee">
      <formula>NOT(ISERROR(SEARCH("Invitee",C240)))</formula>
    </cfRule>
  </conditionalFormatting>
  <conditionalFormatting sqref="C264">
    <cfRule type="containsText" dxfId="379" priority="64" operator="containsText" text="Invitee">
      <formula>NOT(ISERROR(SEARCH("Invitee",C264)))</formula>
    </cfRule>
  </conditionalFormatting>
  <conditionalFormatting sqref="C288">
    <cfRule type="containsText" dxfId="378" priority="62" operator="containsText" text="Invitee">
      <formula>NOT(ISERROR(SEARCH("Invitee",C288)))</formula>
    </cfRule>
  </conditionalFormatting>
  <conditionalFormatting sqref="C312">
    <cfRule type="containsText" dxfId="377" priority="60" operator="containsText" text="Invitee">
      <formula>NOT(ISERROR(SEARCH("Invitee",C312)))</formula>
    </cfRule>
  </conditionalFormatting>
  <conditionalFormatting sqref="C336">
    <cfRule type="containsText" dxfId="376" priority="58" operator="containsText" text="Invitee">
      <formula>NOT(ISERROR(SEARCH("Invitee",C336)))</formula>
    </cfRule>
  </conditionalFormatting>
  <conditionalFormatting sqref="C360">
    <cfRule type="containsText" dxfId="375" priority="56" operator="containsText" text="Invitee">
      <formula>NOT(ISERROR(SEARCH("Invitee",C360)))</formula>
    </cfRule>
  </conditionalFormatting>
  <conditionalFormatting sqref="C384">
    <cfRule type="containsText" dxfId="374" priority="54" operator="containsText" text="Invitee">
      <formula>NOT(ISERROR(SEARCH("Invitee",C384)))</formula>
    </cfRule>
  </conditionalFormatting>
  <conditionalFormatting sqref="C408">
    <cfRule type="containsText" dxfId="373" priority="52" operator="containsText" text="Invitee">
      <formula>NOT(ISERROR(SEARCH("Invitee",C408)))</formula>
    </cfRule>
  </conditionalFormatting>
  <conditionalFormatting sqref="C432">
    <cfRule type="containsText" dxfId="372" priority="50" operator="containsText" text="Invitee">
      <formula>NOT(ISERROR(SEARCH("Invitee",C432)))</formula>
    </cfRule>
  </conditionalFormatting>
  <conditionalFormatting sqref="C456">
    <cfRule type="containsText" dxfId="371" priority="48" operator="containsText" text="Invitee">
      <formula>NOT(ISERROR(SEARCH("Invitee",C456)))</formula>
    </cfRule>
  </conditionalFormatting>
  <conditionalFormatting sqref="C480">
    <cfRule type="containsText" dxfId="370" priority="46" operator="containsText" text="Invitee">
      <formula>NOT(ISERROR(SEARCH("Invitee",C480)))</formula>
    </cfRule>
  </conditionalFormatting>
  <conditionalFormatting sqref="C504">
    <cfRule type="containsText" dxfId="369" priority="44" operator="containsText" text="Invitee">
      <formula>NOT(ISERROR(SEARCH("Invitee",C504)))</formula>
    </cfRule>
  </conditionalFormatting>
  <conditionalFormatting sqref="C528">
    <cfRule type="containsText" dxfId="368" priority="42" operator="containsText" text="Invitee">
      <formula>NOT(ISERROR(SEARCH("Invitee",C528)))</formula>
    </cfRule>
  </conditionalFormatting>
  <conditionalFormatting sqref="C552">
    <cfRule type="containsText" dxfId="367" priority="40" operator="containsText" text="Invitee">
      <formula>NOT(ISERROR(SEARCH("Invitee",C552)))</formula>
    </cfRule>
  </conditionalFormatting>
  <conditionalFormatting sqref="C576">
    <cfRule type="containsText" dxfId="366" priority="38" operator="containsText" text="Invitee">
      <formula>NOT(ISERROR(SEARCH("Invitee",C576)))</formula>
    </cfRule>
  </conditionalFormatting>
  <conditionalFormatting sqref="C600">
    <cfRule type="containsText" dxfId="365" priority="36" operator="containsText" text="Invitee">
      <formula>NOT(ISERROR(SEARCH("Invitee",C600)))</formula>
    </cfRule>
  </conditionalFormatting>
  <conditionalFormatting sqref="C679:G679">
    <cfRule type="cellIs" dxfId="364" priority="744" operator="equal">
      <formula>$C$1072</formula>
    </cfRule>
  </conditionalFormatting>
  <conditionalFormatting sqref="C165:L165">
    <cfRule type="containsText" dxfId="363" priority="908" operator="containsText" text="SELECT">
      <formula>NOT(ISERROR(SEARCH("SELECT",C165)))</formula>
    </cfRule>
  </conditionalFormatting>
  <conditionalFormatting sqref="C189:L189">
    <cfRule type="containsText" dxfId="362" priority="907" operator="containsText" text="SELECT">
      <formula>NOT(ISERROR(SEARCH("SELECT",C189)))</formula>
    </cfRule>
  </conditionalFormatting>
  <conditionalFormatting sqref="C213:L213">
    <cfRule type="containsText" dxfId="361" priority="906" operator="containsText" text="SELECT">
      <formula>NOT(ISERROR(SEARCH("SELECT",C213)))</formula>
    </cfRule>
  </conditionalFormatting>
  <conditionalFormatting sqref="C237:L237">
    <cfRule type="containsText" dxfId="360" priority="904" operator="containsText" text="SELECT">
      <formula>NOT(ISERROR(SEARCH("SELECT",C237)))</formula>
    </cfRule>
  </conditionalFormatting>
  <conditionalFormatting sqref="C261:L261">
    <cfRule type="containsText" dxfId="359" priority="899" operator="containsText" text="SELECT">
      <formula>NOT(ISERROR(SEARCH("SELECT",C261)))</formula>
    </cfRule>
  </conditionalFormatting>
  <conditionalFormatting sqref="C285:L285">
    <cfRule type="containsText" dxfId="358" priority="896" operator="containsText" text="SELECT">
      <formula>NOT(ISERROR(SEARCH("SELECT",C285)))</formula>
    </cfRule>
  </conditionalFormatting>
  <conditionalFormatting sqref="C309:L309">
    <cfRule type="containsText" dxfId="357" priority="893" operator="containsText" text="SELECT">
      <formula>NOT(ISERROR(SEARCH("SELECT",C309)))</formula>
    </cfRule>
  </conditionalFormatting>
  <conditionalFormatting sqref="C316:L316">
    <cfRule type="containsText" dxfId="356" priority="864" operator="containsText" text="SELECT">
      <formula>NOT(ISERROR(SEARCH("SELECT",C316)))</formula>
    </cfRule>
  </conditionalFormatting>
  <conditionalFormatting sqref="C333:L333">
    <cfRule type="containsText" dxfId="355" priority="863" operator="containsText" text="SELECT">
      <formula>NOT(ISERROR(SEARCH("SELECT",C333)))</formula>
    </cfRule>
  </conditionalFormatting>
  <conditionalFormatting sqref="C340:L340">
    <cfRule type="containsText" dxfId="354" priority="862" operator="containsText" text="SELECT">
      <formula>NOT(ISERROR(SEARCH("SELECT",C340)))</formula>
    </cfRule>
  </conditionalFormatting>
  <conditionalFormatting sqref="C357:L357">
    <cfRule type="containsText" dxfId="353" priority="861" operator="containsText" text="SELECT">
      <formula>NOT(ISERROR(SEARCH("SELECT",C357)))</formula>
    </cfRule>
  </conditionalFormatting>
  <conditionalFormatting sqref="C364:L364">
    <cfRule type="containsText" dxfId="352" priority="860" operator="containsText" text="SELECT">
      <formula>NOT(ISERROR(SEARCH("SELECT",C364)))</formula>
    </cfRule>
  </conditionalFormatting>
  <conditionalFormatting sqref="C381:L381">
    <cfRule type="containsText" dxfId="351" priority="859" operator="containsText" text="SELECT">
      <formula>NOT(ISERROR(SEARCH("SELECT",C381)))</formula>
    </cfRule>
  </conditionalFormatting>
  <conditionalFormatting sqref="C388:L388">
    <cfRule type="containsText" dxfId="350" priority="858" operator="containsText" text="SELECT">
      <formula>NOT(ISERROR(SEARCH("SELECT",C388)))</formula>
    </cfRule>
  </conditionalFormatting>
  <conditionalFormatting sqref="C405:L405">
    <cfRule type="containsText" dxfId="349" priority="857" operator="containsText" text="SELECT">
      <formula>NOT(ISERROR(SEARCH("SELECT",C405)))</formula>
    </cfRule>
  </conditionalFormatting>
  <conditionalFormatting sqref="C412:L412">
    <cfRule type="containsText" dxfId="348" priority="856" operator="containsText" text="SELECT">
      <formula>NOT(ISERROR(SEARCH("SELECT",C412)))</formula>
    </cfRule>
  </conditionalFormatting>
  <conditionalFormatting sqref="C429:L429">
    <cfRule type="containsText" dxfId="347" priority="855" operator="containsText" text="SELECT">
      <formula>NOT(ISERROR(SEARCH("SELECT",C429)))</formula>
    </cfRule>
  </conditionalFormatting>
  <conditionalFormatting sqref="C436:L436">
    <cfRule type="containsText" dxfId="346" priority="854" operator="containsText" text="SELECT">
      <formula>NOT(ISERROR(SEARCH("SELECT",C436)))</formula>
    </cfRule>
  </conditionalFormatting>
  <conditionalFormatting sqref="C453:L453">
    <cfRule type="containsText" dxfId="345" priority="853" operator="containsText" text="SELECT">
      <formula>NOT(ISERROR(SEARCH("SELECT",C453)))</formula>
    </cfRule>
  </conditionalFormatting>
  <conditionalFormatting sqref="C460:L460">
    <cfRule type="containsText" dxfId="344" priority="852" operator="containsText" text="SELECT">
      <formula>NOT(ISERROR(SEARCH("SELECT",C460)))</formula>
    </cfRule>
  </conditionalFormatting>
  <conditionalFormatting sqref="C477:L477">
    <cfRule type="containsText" dxfId="343" priority="851" operator="containsText" text="SELECT">
      <formula>NOT(ISERROR(SEARCH("SELECT",C477)))</formula>
    </cfRule>
  </conditionalFormatting>
  <conditionalFormatting sqref="C484:L484">
    <cfRule type="containsText" dxfId="342" priority="850" operator="containsText" text="SELECT">
      <formula>NOT(ISERROR(SEARCH("SELECT",C484)))</formula>
    </cfRule>
  </conditionalFormatting>
  <conditionalFormatting sqref="C501:L501">
    <cfRule type="containsText" dxfId="341" priority="849" operator="containsText" text="SELECT">
      <formula>NOT(ISERROR(SEARCH("SELECT",C501)))</formula>
    </cfRule>
  </conditionalFormatting>
  <conditionalFormatting sqref="C508:L508">
    <cfRule type="containsText" dxfId="340" priority="848" operator="containsText" text="SELECT">
      <formula>NOT(ISERROR(SEARCH("SELECT",C508)))</formula>
    </cfRule>
  </conditionalFormatting>
  <conditionalFormatting sqref="C525:L525">
    <cfRule type="containsText" dxfId="339" priority="847" operator="containsText" text="SELECT">
      <formula>NOT(ISERROR(SEARCH("SELECT",C525)))</formula>
    </cfRule>
  </conditionalFormatting>
  <conditionalFormatting sqref="C532:L532">
    <cfRule type="containsText" dxfId="338" priority="846" operator="containsText" text="SELECT">
      <formula>NOT(ISERROR(SEARCH("SELECT",C532)))</formula>
    </cfRule>
  </conditionalFormatting>
  <conditionalFormatting sqref="C549:L549">
    <cfRule type="containsText" dxfId="337" priority="845" operator="containsText" text="SELECT">
      <formula>NOT(ISERROR(SEARCH("SELECT",C549)))</formula>
    </cfRule>
  </conditionalFormatting>
  <conditionalFormatting sqref="C556:L556">
    <cfRule type="containsText" dxfId="336" priority="844" operator="containsText" text="SELECT">
      <formula>NOT(ISERROR(SEARCH("SELECT",C556)))</formula>
    </cfRule>
  </conditionalFormatting>
  <conditionalFormatting sqref="C573:L573">
    <cfRule type="containsText" dxfId="335" priority="843" operator="containsText" text="SELECT">
      <formula>NOT(ISERROR(SEARCH("SELECT",C573)))</formula>
    </cfRule>
  </conditionalFormatting>
  <conditionalFormatting sqref="C580:L580">
    <cfRule type="containsText" dxfId="334" priority="842" operator="containsText" text="SELECT">
      <formula>NOT(ISERROR(SEARCH("SELECT",C580)))</formula>
    </cfRule>
  </conditionalFormatting>
  <conditionalFormatting sqref="C597:L597">
    <cfRule type="containsText" dxfId="333" priority="841" operator="containsText" text="SELECT">
      <formula>NOT(ISERROR(SEARCH("SELECT",C597)))</formula>
    </cfRule>
  </conditionalFormatting>
  <conditionalFormatting sqref="C604:L604">
    <cfRule type="containsText" dxfId="332" priority="840" operator="containsText" text="SELECT">
      <formula>NOT(ISERROR(SEARCH("SELECT",C604)))</formula>
    </cfRule>
  </conditionalFormatting>
  <conditionalFormatting sqref="C621:L621">
    <cfRule type="containsText" dxfId="331" priority="839" operator="containsText" text="SELECT">
      <formula>NOT(ISERROR(SEARCH("SELECT",C621)))</formula>
    </cfRule>
  </conditionalFormatting>
  <conditionalFormatting sqref="C626:L626">
    <cfRule type="cellIs" dxfId="330" priority="304" operator="equal">
      <formula>0.5</formula>
    </cfRule>
    <cfRule type="cellIs" dxfId="329" priority="305" operator="equal">
      <formula>1</formula>
    </cfRule>
    <cfRule type="cellIs" dxfId="328" priority="306" operator="equal">
      <formula>0</formula>
    </cfRule>
  </conditionalFormatting>
  <conditionalFormatting sqref="C628:L628">
    <cfRule type="cellIs" dxfId="327" priority="301" operator="equal">
      <formula>0.5</formula>
    </cfRule>
    <cfRule type="cellIs" dxfId="326" priority="302" operator="equal">
      <formula>1</formula>
    </cfRule>
    <cfRule type="cellIs" dxfId="325" priority="303" operator="equal">
      <formula>0</formula>
    </cfRule>
  </conditionalFormatting>
  <conditionalFormatting sqref="C630:L630">
    <cfRule type="cellIs" dxfId="324" priority="298" operator="equal">
      <formula>0.5</formula>
    </cfRule>
    <cfRule type="cellIs" dxfId="323" priority="299" operator="equal">
      <formula>1</formula>
    </cfRule>
    <cfRule type="cellIs" dxfId="322" priority="300" operator="equal">
      <formula>0</formula>
    </cfRule>
  </conditionalFormatting>
  <conditionalFormatting sqref="C632:L632">
    <cfRule type="cellIs" dxfId="321" priority="295" operator="equal">
      <formula>0.5</formula>
    </cfRule>
    <cfRule type="cellIs" dxfId="320" priority="296" operator="equal">
      <formula>1</formula>
    </cfRule>
    <cfRule type="cellIs" dxfId="319" priority="297" operator="equal">
      <formula>0</formula>
    </cfRule>
  </conditionalFormatting>
  <conditionalFormatting sqref="C634:L634">
    <cfRule type="cellIs" dxfId="318" priority="292" operator="equal">
      <formula>0.5</formula>
    </cfRule>
    <cfRule type="cellIs" dxfId="317" priority="293" operator="equal">
      <formula>1</formula>
    </cfRule>
    <cfRule type="cellIs" dxfId="316" priority="294" operator="equal">
      <formula>0</formula>
    </cfRule>
  </conditionalFormatting>
  <conditionalFormatting sqref="C636:L636">
    <cfRule type="cellIs" dxfId="315" priority="289" operator="equal">
      <formula>0.5</formula>
    </cfRule>
    <cfRule type="cellIs" dxfId="314" priority="290" operator="equal">
      <formula>1</formula>
    </cfRule>
    <cfRule type="cellIs" dxfId="313" priority="291" operator="equal">
      <formula>0</formula>
    </cfRule>
  </conditionalFormatting>
  <conditionalFormatting sqref="C638:L638">
    <cfRule type="cellIs" dxfId="312" priority="286" operator="equal">
      <formula>0.5</formula>
    </cfRule>
    <cfRule type="cellIs" dxfId="311" priority="287" operator="equal">
      <formula>1</formula>
    </cfRule>
    <cfRule type="cellIs" dxfId="310" priority="288" operator="equal">
      <formula>0</formula>
    </cfRule>
  </conditionalFormatting>
  <conditionalFormatting sqref="C640:L640">
    <cfRule type="cellIs" dxfId="309" priority="283" operator="equal">
      <formula>0.5</formula>
    </cfRule>
    <cfRule type="cellIs" dxfId="308" priority="284" operator="equal">
      <formula>1</formula>
    </cfRule>
    <cfRule type="cellIs" dxfId="307" priority="285" operator="equal">
      <formula>0</formula>
    </cfRule>
  </conditionalFormatting>
  <conditionalFormatting sqref="C642:L642">
    <cfRule type="cellIs" dxfId="306" priority="280" operator="equal">
      <formula>0.5</formula>
    </cfRule>
    <cfRule type="cellIs" dxfId="305" priority="281" operator="equal">
      <formula>1</formula>
    </cfRule>
    <cfRule type="cellIs" dxfId="304" priority="282" operator="equal">
      <formula>0</formula>
    </cfRule>
  </conditionalFormatting>
  <conditionalFormatting sqref="C644:L644">
    <cfRule type="cellIs" dxfId="303" priority="277" operator="equal">
      <formula>0.5</formula>
    </cfRule>
    <cfRule type="cellIs" dxfId="302" priority="278" operator="equal">
      <formula>1</formula>
    </cfRule>
    <cfRule type="cellIs" dxfId="301" priority="279" operator="equal">
      <formula>0</formula>
    </cfRule>
  </conditionalFormatting>
  <conditionalFormatting sqref="C649:L649">
    <cfRule type="cellIs" dxfId="300" priority="274" operator="equal">
      <formula>0.5</formula>
    </cfRule>
    <cfRule type="cellIs" dxfId="299" priority="275" operator="equal">
      <formula>1</formula>
    </cfRule>
    <cfRule type="cellIs" dxfId="298" priority="276" operator="equal">
      <formula>0</formula>
    </cfRule>
  </conditionalFormatting>
  <conditionalFormatting sqref="C651:L651">
    <cfRule type="cellIs" dxfId="297" priority="271" operator="equal">
      <formula>0.5</formula>
    </cfRule>
    <cfRule type="cellIs" dxfId="296" priority="272" operator="equal">
      <formula>1</formula>
    </cfRule>
    <cfRule type="cellIs" dxfId="295" priority="273" operator="equal">
      <formula>0</formula>
    </cfRule>
  </conditionalFormatting>
  <conditionalFormatting sqref="C653:L653">
    <cfRule type="cellIs" dxfId="294" priority="268" operator="equal">
      <formula>0.5</formula>
    </cfRule>
    <cfRule type="cellIs" dxfId="293" priority="269" operator="equal">
      <formula>1</formula>
    </cfRule>
    <cfRule type="cellIs" dxfId="292" priority="270" operator="equal">
      <formula>0</formula>
    </cfRule>
  </conditionalFormatting>
  <conditionalFormatting sqref="C655:L655">
    <cfRule type="cellIs" dxfId="291" priority="265" operator="equal">
      <formula>0.5</formula>
    </cfRule>
    <cfRule type="cellIs" dxfId="290" priority="266" operator="equal">
      <formula>1</formula>
    </cfRule>
    <cfRule type="cellIs" dxfId="289" priority="267" operator="equal">
      <formula>0</formula>
    </cfRule>
  </conditionalFormatting>
  <conditionalFormatting sqref="C657:L657">
    <cfRule type="cellIs" dxfId="288" priority="262" operator="equal">
      <formula>0.5</formula>
    </cfRule>
    <cfRule type="cellIs" dxfId="287" priority="263" operator="equal">
      <formula>1</formula>
    </cfRule>
    <cfRule type="cellIs" dxfId="286" priority="264" operator="equal">
      <formula>0</formula>
    </cfRule>
  </conditionalFormatting>
  <conditionalFormatting sqref="C659:L659">
    <cfRule type="cellIs" dxfId="285" priority="259" operator="equal">
      <formula>0.5</formula>
    </cfRule>
    <cfRule type="cellIs" dxfId="284" priority="260" operator="equal">
      <formula>1</formula>
    </cfRule>
    <cfRule type="cellIs" dxfId="283" priority="261" operator="equal">
      <formula>0</formula>
    </cfRule>
  </conditionalFormatting>
  <conditionalFormatting sqref="C661:L661">
    <cfRule type="cellIs" dxfId="282" priority="307" operator="equal">
      <formula>0.5</formula>
    </cfRule>
    <cfRule type="cellIs" dxfId="281" priority="308" operator="equal">
      <formula>1</formula>
    </cfRule>
    <cfRule type="cellIs" dxfId="280" priority="309" operator="equal">
      <formula>0</formula>
    </cfRule>
  </conditionalFormatting>
  <conditionalFormatting sqref="C663:L663">
    <cfRule type="cellIs" dxfId="279" priority="310" operator="equal">
      <formula>0.5</formula>
    </cfRule>
    <cfRule type="cellIs" dxfId="278" priority="311" operator="equal">
      <formula>1</formula>
    </cfRule>
    <cfRule type="cellIs" dxfId="277" priority="312" operator="equal">
      <formula>0</formula>
    </cfRule>
  </conditionalFormatting>
  <conditionalFormatting sqref="C665:L665">
    <cfRule type="cellIs" dxfId="276" priority="316" operator="equal">
      <formula>0.5</formula>
    </cfRule>
    <cfRule type="cellIs" dxfId="275" priority="333" operator="equal">
      <formula>1</formula>
    </cfRule>
    <cfRule type="cellIs" dxfId="274" priority="334" operator="equal">
      <formula>0</formula>
    </cfRule>
  </conditionalFormatting>
  <conditionalFormatting sqref="C667:L667">
    <cfRule type="cellIs" dxfId="273" priority="313" operator="equal">
      <formula>0.5</formula>
    </cfRule>
    <cfRule type="cellIs" dxfId="272" priority="314" operator="equal">
      <formula>1</formula>
    </cfRule>
    <cfRule type="cellIs" dxfId="271" priority="315" operator="equal">
      <formula>0</formula>
    </cfRule>
  </conditionalFormatting>
  <conditionalFormatting sqref="F218">
    <cfRule type="containsText" dxfId="268" priority="741" operator="containsText" text="SELECT">
      <formula>NOT(ISERROR(SEARCH("SELECT",F218)))</formula>
    </cfRule>
  </conditionalFormatting>
  <conditionalFormatting sqref="F314">
    <cfRule type="containsText" dxfId="264" priority="737" operator="containsText" text="SELECT">
      <formula>NOT(ISERROR(SEARCH("SELECT",F314)))</formula>
    </cfRule>
  </conditionalFormatting>
  <conditionalFormatting sqref="F338">
    <cfRule type="containsText" dxfId="263" priority="736" operator="containsText" text="SELECT">
      <formula>NOT(ISERROR(SEARCH("SELECT",F338)))</formula>
    </cfRule>
  </conditionalFormatting>
  <conditionalFormatting sqref="F362">
    <cfRule type="containsText" dxfId="262" priority="735" operator="containsText" text="SELECT">
      <formula>NOT(ISERROR(SEARCH("SELECT",F362)))</formula>
    </cfRule>
  </conditionalFormatting>
  <conditionalFormatting sqref="F386">
    <cfRule type="containsText" dxfId="261" priority="734" operator="containsText" text="SELECT">
      <formula>NOT(ISERROR(SEARCH("SELECT",F386)))</formula>
    </cfRule>
  </conditionalFormatting>
  <conditionalFormatting sqref="F410">
    <cfRule type="containsText" dxfId="260" priority="733" operator="containsText" text="SELECT">
      <formula>NOT(ISERROR(SEARCH("SELECT",F410)))</formula>
    </cfRule>
  </conditionalFormatting>
  <conditionalFormatting sqref="F434">
    <cfRule type="containsText" dxfId="259" priority="732" operator="containsText" text="SELECT">
      <formula>NOT(ISERROR(SEARCH("SELECT",F434)))</formula>
    </cfRule>
  </conditionalFormatting>
  <conditionalFormatting sqref="F458">
    <cfRule type="containsText" dxfId="258" priority="731" operator="containsText" text="SELECT">
      <formula>NOT(ISERROR(SEARCH("SELECT",F458)))</formula>
    </cfRule>
  </conditionalFormatting>
  <conditionalFormatting sqref="F482">
    <cfRule type="containsText" dxfId="257" priority="730" operator="containsText" text="SELECT">
      <formula>NOT(ISERROR(SEARCH("SELECT",F482)))</formula>
    </cfRule>
  </conditionalFormatting>
  <conditionalFormatting sqref="F506">
    <cfRule type="containsText" dxfId="256" priority="729" operator="containsText" text="SELECT">
      <formula>NOT(ISERROR(SEARCH("SELECT",F506)))</formula>
    </cfRule>
  </conditionalFormatting>
  <conditionalFormatting sqref="F530">
    <cfRule type="containsText" dxfId="255" priority="728" operator="containsText" text="SELECT">
      <formula>NOT(ISERROR(SEARCH("SELECT",F530)))</formula>
    </cfRule>
  </conditionalFormatting>
  <conditionalFormatting sqref="F554">
    <cfRule type="containsText" dxfId="254" priority="727" operator="containsText" text="SELECT">
      <formula>NOT(ISERROR(SEARCH("SELECT",F554)))</formula>
    </cfRule>
  </conditionalFormatting>
  <conditionalFormatting sqref="F578">
    <cfRule type="containsText" dxfId="253" priority="726" operator="containsText" text="SELECT">
      <formula>NOT(ISERROR(SEARCH("SELECT",F578)))</formula>
    </cfRule>
  </conditionalFormatting>
  <conditionalFormatting sqref="F602">
    <cfRule type="containsText" dxfId="252" priority="725" operator="containsText" text="SELECT">
      <formula>NOT(ISERROR(SEARCH("SELECT",F602)))</formula>
    </cfRule>
  </conditionalFormatting>
  <conditionalFormatting sqref="I118:M138">
    <cfRule type="containsText" dxfId="231" priority="911" operator="containsText" text="SELECT">
      <formula>NOT(ISERROR(SEARCH("SELECT",I118)))</formula>
    </cfRule>
  </conditionalFormatting>
  <conditionalFormatting sqref="I119:M138">
    <cfRule type="cellIs" dxfId="230" priority="750" operator="greaterThan">
      <formula>0</formula>
    </cfRule>
  </conditionalFormatting>
  <conditionalFormatting sqref="L144">
    <cfRule type="cellIs" dxfId="228" priority="582" operator="between">
      <formula>0.25</formula>
      <formula>0.5</formula>
    </cfRule>
    <cfRule type="cellIs" dxfId="227" priority="583" operator="between">
      <formula>0</formula>
      <formula>0.25</formula>
    </cfRule>
    <cfRule type="containsText" dxfId="226" priority="584" operator="containsText" text="SELECT">
      <formula>NOT(ISERROR(SEARCH("SELECT",L144)))</formula>
    </cfRule>
  </conditionalFormatting>
  <conditionalFormatting sqref="L168">
    <cfRule type="cellIs" dxfId="225" priority="587" operator="between">
      <formula>0.25</formula>
      <formula>0.5</formula>
    </cfRule>
    <cfRule type="cellIs" dxfId="224" priority="588" operator="between">
      <formula>0</formula>
      <formula>0.25</formula>
    </cfRule>
    <cfRule type="containsText" dxfId="223" priority="589" operator="containsText" text="SELECT">
      <formula>NOT(ISERROR(SEARCH("SELECT",L168)))</formula>
    </cfRule>
  </conditionalFormatting>
  <conditionalFormatting sqref="L192">
    <cfRule type="cellIs" dxfId="222" priority="577" operator="between">
      <formula>0.25</formula>
      <formula>0.5</formula>
    </cfRule>
    <cfRule type="cellIs" dxfId="221" priority="578" operator="between">
      <formula>0</formula>
      <formula>0.25</formula>
    </cfRule>
    <cfRule type="containsText" dxfId="220" priority="579" operator="containsText" text="SELECT">
      <formula>NOT(ISERROR(SEARCH("SELECT",L192)))</formula>
    </cfRule>
  </conditionalFormatting>
  <conditionalFormatting sqref="L216">
    <cfRule type="cellIs" dxfId="219" priority="572" operator="between">
      <formula>0.25</formula>
      <formula>0.5</formula>
    </cfRule>
    <cfRule type="cellIs" dxfId="218" priority="573" operator="between">
      <formula>0</formula>
      <formula>0.25</formula>
    </cfRule>
    <cfRule type="containsText" dxfId="217" priority="574" operator="containsText" text="SELECT">
      <formula>NOT(ISERROR(SEARCH("SELECT",L216)))</formula>
    </cfRule>
  </conditionalFormatting>
  <conditionalFormatting sqref="L240">
    <cfRule type="cellIs" dxfId="216" priority="567" operator="between">
      <formula>0.25</formula>
      <formula>0.5</formula>
    </cfRule>
    <cfRule type="cellIs" dxfId="215" priority="568" operator="between">
      <formula>0</formula>
      <formula>0.25</formula>
    </cfRule>
    <cfRule type="containsText" dxfId="214" priority="569" operator="containsText" text="SELECT">
      <formula>NOT(ISERROR(SEARCH("SELECT",L240)))</formula>
    </cfRule>
  </conditionalFormatting>
  <conditionalFormatting sqref="L264">
    <cfRule type="cellIs" dxfId="213" priority="562" operator="between">
      <formula>0.25</formula>
      <formula>0.5</formula>
    </cfRule>
    <cfRule type="cellIs" dxfId="212" priority="563" operator="between">
      <formula>0</formula>
      <formula>0.25</formula>
    </cfRule>
    <cfRule type="containsText" dxfId="211" priority="564" operator="containsText" text="SELECT">
      <formula>NOT(ISERROR(SEARCH("SELECT",L264)))</formula>
    </cfRule>
  </conditionalFormatting>
  <conditionalFormatting sqref="L288">
    <cfRule type="cellIs" dxfId="210" priority="557" operator="between">
      <formula>0.25</formula>
      <formula>0.5</formula>
    </cfRule>
    <cfRule type="cellIs" dxfId="209" priority="558" operator="between">
      <formula>0</formula>
      <formula>0.25</formula>
    </cfRule>
    <cfRule type="containsText" dxfId="208" priority="559" operator="containsText" text="SELECT">
      <formula>NOT(ISERROR(SEARCH("SELECT",L288)))</formula>
    </cfRule>
  </conditionalFormatting>
  <conditionalFormatting sqref="L312">
    <cfRule type="cellIs" dxfId="207" priority="552" operator="between">
      <formula>0.25</formula>
      <formula>0.5</formula>
    </cfRule>
    <cfRule type="cellIs" dxfId="206" priority="553" operator="between">
      <formula>0</formula>
      <formula>0.25</formula>
    </cfRule>
    <cfRule type="containsText" dxfId="205" priority="554" operator="containsText" text="SELECT">
      <formula>NOT(ISERROR(SEARCH("SELECT",L312)))</formula>
    </cfRule>
  </conditionalFormatting>
  <conditionalFormatting sqref="L336">
    <cfRule type="cellIs" dxfId="204" priority="547" operator="between">
      <formula>0.25</formula>
      <formula>0.5</formula>
    </cfRule>
    <cfRule type="cellIs" dxfId="203" priority="548" operator="between">
      <formula>0</formula>
      <formula>0.25</formula>
    </cfRule>
    <cfRule type="containsText" dxfId="202" priority="549" operator="containsText" text="SELECT">
      <formula>NOT(ISERROR(SEARCH("SELECT",L336)))</formula>
    </cfRule>
  </conditionalFormatting>
  <conditionalFormatting sqref="L360">
    <cfRule type="cellIs" dxfId="201" priority="542" operator="between">
      <formula>0.25</formula>
      <formula>0.5</formula>
    </cfRule>
    <cfRule type="cellIs" dxfId="200" priority="543" operator="between">
      <formula>0</formula>
      <formula>0.25</formula>
    </cfRule>
    <cfRule type="containsText" dxfId="199" priority="544" operator="containsText" text="SELECT">
      <formula>NOT(ISERROR(SEARCH("SELECT",L360)))</formula>
    </cfRule>
  </conditionalFormatting>
  <conditionalFormatting sqref="L384">
    <cfRule type="cellIs" dxfId="198" priority="537" operator="between">
      <formula>0.25</formula>
      <formula>0.5</formula>
    </cfRule>
    <cfRule type="cellIs" dxfId="197" priority="538" operator="between">
      <formula>0</formula>
      <formula>0.25</formula>
    </cfRule>
    <cfRule type="containsText" dxfId="196" priority="539" operator="containsText" text="SELECT">
      <formula>NOT(ISERROR(SEARCH("SELECT",L384)))</formula>
    </cfRule>
  </conditionalFormatting>
  <conditionalFormatting sqref="L408">
    <cfRule type="cellIs" dxfId="195" priority="532" operator="between">
      <formula>0.25</formula>
      <formula>0.5</formula>
    </cfRule>
    <cfRule type="cellIs" dxfId="194" priority="533" operator="between">
      <formula>0</formula>
      <formula>0.25</formula>
    </cfRule>
    <cfRule type="containsText" dxfId="193" priority="534" operator="containsText" text="SELECT">
      <formula>NOT(ISERROR(SEARCH("SELECT",L408)))</formula>
    </cfRule>
  </conditionalFormatting>
  <conditionalFormatting sqref="L432">
    <cfRule type="cellIs" dxfId="192" priority="527" operator="between">
      <formula>0.25</formula>
      <formula>0.5</formula>
    </cfRule>
    <cfRule type="cellIs" dxfId="191" priority="528" operator="between">
      <formula>0</formula>
      <formula>0.25</formula>
    </cfRule>
    <cfRule type="containsText" dxfId="190" priority="529" operator="containsText" text="SELECT">
      <formula>NOT(ISERROR(SEARCH("SELECT",L432)))</formula>
    </cfRule>
  </conditionalFormatting>
  <conditionalFormatting sqref="L456">
    <cfRule type="cellIs" dxfId="189" priority="522" operator="between">
      <formula>0.25</formula>
      <formula>0.5</formula>
    </cfRule>
    <cfRule type="cellIs" dxfId="188" priority="523" operator="between">
      <formula>0</formula>
      <formula>0.25</formula>
    </cfRule>
    <cfRule type="containsText" dxfId="187" priority="524" operator="containsText" text="SELECT">
      <formula>NOT(ISERROR(SEARCH("SELECT",L456)))</formula>
    </cfRule>
  </conditionalFormatting>
  <conditionalFormatting sqref="L480">
    <cfRule type="cellIs" dxfId="186" priority="517" operator="between">
      <formula>0.25</formula>
      <formula>0.5</formula>
    </cfRule>
    <cfRule type="cellIs" dxfId="185" priority="518" operator="between">
      <formula>0</formula>
      <formula>0.25</formula>
    </cfRule>
    <cfRule type="containsText" dxfId="184" priority="519" operator="containsText" text="SELECT">
      <formula>NOT(ISERROR(SEARCH("SELECT",L480)))</formula>
    </cfRule>
  </conditionalFormatting>
  <conditionalFormatting sqref="L504">
    <cfRule type="cellIs" dxfId="183" priority="512" operator="between">
      <formula>0.25</formula>
      <formula>0.5</formula>
    </cfRule>
    <cfRule type="cellIs" dxfId="182" priority="513" operator="between">
      <formula>0</formula>
      <formula>0.25</formula>
    </cfRule>
    <cfRule type="containsText" dxfId="181" priority="514" operator="containsText" text="SELECT">
      <formula>NOT(ISERROR(SEARCH("SELECT",L504)))</formula>
    </cfRule>
  </conditionalFormatting>
  <conditionalFormatting sqref="L528">
    <cfRule type="cellIs" dxfId="180" priority="507" operator="between">
      <formula>0.25</formula>
      <formula>0.5</formula>
    </cfRule>
    <cfRule type="cellIs" dxfId="179" priority="508" operator="between">
      <formula>0</formula>
      <formula>0.25</formula>
    </cfRule>
    <cfRule type="containsText" dxfId="178" priority="509" operator="containsText" text="SELECT">
      <formula>NOT(ISERROR(SEARCH("SELECT",L528)))</formula>
    </cfRule>
  </conditionalFormatting>
  <conditionalFormatting sqref="L552">
    <cfRule type="cellIs" dxfId="177" priority="502" operator="between">
      <formula>0.25</formula>
      <formula>0.5</formula>
    </cfRule>
    <cfRule type="cellIs" dxfId="176" priority="503" operator="between">
      <formula>0</formula>
      <formula>0.25</formula>
    </cfRule>
    <cfRule type="containsText" dxfId="175" priority="504" operator="containsText" text="SELECT">
      <formula>NOT(ISERROR(SEARCH("SELECT",L552)))</formula>
    </cfRule>
  </conditionalFormatting>
  <conditionalFormatting sqref="L576">
    <cfRule type="cellIs" dxfId="174" priority="497" operator="between">
      <formula>0.25</formula>
      <formula>0.5</formula>
    </cfRule>
    <cfRule type="cellIs" dxfId="173" priority="498" operator="between">
      <formula>0</formula>
      <formula>0.25</formula>
    </cfRule>
    <cfRule type="containsText" dxfId="172" priority="499" operator="containsText" text="SELECT">
      <formula>NOT(ISERROR(SEARCH("SELECT",L576)))</formula>
    </cfRule>
  </conditionalFormatting>
  <conditionalFormatting sqref="L600">
    <cfRule type="cellIs" dxfId="171" priority="492" operator="between">
      <formula>0.25</formula>
      <formula>0.5</formula>
    </cfRule>
    <cfRule type="cellIs" dxfId="170" priority="493" operator="between">
      <formula>0</formula>
      <formula>0.25</formula>
    </cfRule>
    <cfRule type="containsText" dxfId="169" priority="494" operator="containsText" text="SELECT">
      <formula>NOT(ISERROR(SEARCH("SELECT",L600)))</formula>
    </cfRule>
  </conditionalFormatting>
  <conditionalFormatting sqref="L144:M144">
    <cfRule type="cellIs" dxfId="168" priority="580" operator="between">
      <formula>0.75</formula>
      <formula>1.01</formula>
    </cfRule>
    <cfRule type="cellIs" dxfId="167" priority="581" operator="between">
      <formula>0.5</formula>
      <formula>0.75</formula>
    </cfRule>
  </conditionalFormatting>
  <conditionalFormatting sqref="L168:M168">
    <cfRule type="cellIs" dxfId="166" priority="585" operator="between">
      <formula>0.75</formula>
      <formula>1.01</formula>
    </cfRule>
    <cfRule type="cellIs" dxfId="165" priority="586" operator="between">
      <formula>0.5</formula>
      <formula>0.75</formula>
    </cfRule>
  </conditionalFormatting>
  <conditionalFormatting sqref="L192:M192">
    <cfRule type="cellIs" dxfId="164" priority="575" operator="between">
      <formula>0.75</formula>
      <formula>1.01</formula>
    </cfRule>
    <cfRule type="cellIs" dxfId="163" priority="576" operator="between">
      <formula>0.5</formula>
      <formula>0.75</formula>
    </cfRule>
  </conditionalFormatting>
  <conditionalFormatting sqref="L216:M216">
    <cfRule type="cellIs" dxfId="162" priority="570" operator="between">
      <formula>0.75</formula>
      <formula>1.01</formula>
    </cfRule>
    <cfRule type="cellIs" dxfId="161" priority="571" operator="between">
      <formula>0.5</formula>
      <formula>0.75</formula>
    </cfRule>
  </conditionalFormatting>
  <conditionalFormatting sqref="L240:M240">
    <cfRule type="cellIs" dxfId="160" priority="565" operator="between">
      <formula>0.75</formula>
      <formula>1.01</formula>
    </cfRule>
    <cfRule type="cellIs" dxfId="159" priority="566" operator="between">
      <formula>0.5</formula>
      <formula>0.75</formula>
    </cfRule>
  </conditionalFormatting>
  <conditionalFormatting sqref="L264:M264">
    <cfRule type="cellIs" dxfId="158" priority="560" operator="between">
      <formula>0.75</formula>
      <formula>1.01</formula>
    </cfRule>
    <cfRule type="cellIs" dxfId="157" priority="561" operator="between">
      <formula>0.5</formula>
      <formula>0.75</formula>
    </cfRule>
  </conditionalFormatting>
  <conditionalFormatting sqref="L288:M288">
    <cfRule type="cellIs" dxfId="156" priority="555" operator="between">
      <formula>0.75</formula>
      <formula>1.01</formula>
    </cfRule>
    <cfRule type="cellIs" dxfId="155" priority="556" operator="between">
      <formula>0.5</formula>
      <formula>0.75</formula>
    </cfRule>
  </conditionalFormatting>
  <conditionalFormatting sqref="L312:M312">
    <cfRule type="cellIs" dxfId="154" priority="550" operator="between">
      <formula>0.75</formula>
      <formula>1.01</formula>
    </cfRule>
    <cfRule type="cellIs" dxfId="153" priority="551" operator="between">
      <formula>0.5</formula>
      <formula>0.75</formula>
    </cfRule>
  </conditionalFormatting>
  <conditionalFormatting sqref="L336:M336">
    <cfRule type="cellIs" dxfId="152" priority="545" operator="between">
      <formula>0.75</formula>
      <formula>1.01</formula>
    </cfRule>
    <cfRule type="cellIs" dxfId="151" priority="546" operator="between">
      <formula>0.5</formula>
      <formula>0.75</formula>
    </cfRule>
  </conditionalFormatting>
  <conditionalFormatting sqref="L360:M360">
    <cfRule type="cellIs" dxfId="150" priority="540" operator="between">
      <formula>0.75</formula>
      <formula>1.01</formula>
    </cfRule>
    <cfRule type="cellIs" dxfId="149" priority="541" operator="between">
      <formula>0.5</formula>
      <formula>0.75</formula>
    </cfRule>
  </conditionalFormatting>
  <conditionalFormatting sqref="L384:M384">
    <cfRule type="cellIs" dxfId="148" priority="535" operator="between">
      <formula>0.75</formula>
      <formula>1.01</formula>
    </cfRule>
    <cfRule type="cellIs" dxfId="147" priority="536" operator="between">
      <formula>0.5</formula>
      <formula>0.75</formula>
    </cfRule>
  </conditionalFormatting>
  <conditionalFormatting sqref="L408:M408">
    <cfRule type="cellIs" dxfId="146" priority="530" operator="between">
      <formula>0.75</formula>
      <formula>1.01</formula>
    </cfRule>
    <cfRule type="cellIs" dxfId="145" priority="531" operator="between">
      <formula>0.5</formula>
      <formula>0.75</formula>
    </cfRule>
  </conditionalFormatting>
  <conditionalFormatting sqref="L432:M432">
    <cfRule type="cellIs" dxfId="144" priority="525" operator="between">
      <formula>0.75</formula>
      <formula>1.01</formula>
    </cfRule>
    <cfRule type="cellIs" dxfId="143" priority="526" operator="between">
      <formula>0.5</formula>
      <formula>0.75</formula>
    </cfRule>
  </conditionalFormatting>
  <conditionalFormatting sqref="L456:M456">
    <cfRule type="cellIs" dxfId="142" priority="520" operator="between">
      <formula>0.75</formula>
      <formula>1.01</formula>
    </cfRule>
    <cfRule type="cellIs" dxfId="141" priority="521" operator="between">
      <formula>0.5</formula>
      <formula>0.75</formula>
    </cfRule>
  </conditionalFormatting>
  <conditionalFormatting sqref="L480:M480">
    <cfRule type="cellIs" dxfId="140" priority="515" operator="between">
      <formula>0.75</formula>
      <formula>1.01</formula>
    </cfRule>
    <cfRule type="cellIs" dxfId="139" priority="516" operator="between">
      <formula>0.5</formula>
      <formula>0.75</formula>
    </cfRule>
  </conditionalFormatting>
  <conditionalFormatting sqref="L504:M504">
    <cfRule type="cellIs" dxfId="138" priority="510" operator="between">
      <formula>0.75</formula>
      <formula>1.01</formula>
    </cfRule>
    <cfRule type="cellIs" dxfId="137" priority="511" operator="between">
      <formula>0.5</formula>
      <formula>0.75</formula>
    </cfRule>
  </conditionalFormatting>
  <conditionalFormatting sqref="L528:M528">
    <cfRule type="cellIs" dxfId="136" priority="505" operator="between">
      <formula>0.75</formula>
      <formula>1.01</formula>
    </cfRule>
    <cfRule type="cellIs" dxfId="135" priority="506" operator="between">
      <formula>0.5</formula>
      <formula>0.75</formula>
    </cfRule>
  </conditionalFormatting>
  <conditionalFormatting sqref="L552:M552">
    <cfRule type="cellIs" dxfId="134" priority="500" operator="between">
      <formula>0.75</formula>
      <formula>1.01</formula>
    </cfRule>
    <cfRule type="cellIs" dxfId="133" priority="501" operator="between">
      <formula>0.5</formula>
      <formula>0.75</formula>
    </cfRule>
  </conditionalFormatting>
  <conditionalFormatting sqref="L576:M576">
    <cfRule type="cellIs" dxfId="132" priority="495" operator="between">
      <formula>0.75</formula>
      <formula>1.01</formula>
    </cfRule>
    <cfRule type="cellIs" dxfId="131" priority="496" operator="between">
      <formula>0.5</formula>
      <formula>0.75</formula>
    </cfRule>
  </conditionalFormatting>
  <conditionalFormatting sqref="L600:M600">
    <cfRule type="cellIs" dxfId="130" priority="490" operator="between">
      <formula>0.75</formula>
      <formula>1.01</formula>
    </cfRule>
    <cfRule type="cellIs" dxfId="129" priority="491" operator="between">
      <formula>0.5</formula>
      <formula>0.75</formula>
    </cfRule>
  </conditionalFormatting>
  <conditionalFormatting sqref="M626">
    <cfRule type="cellIs" dxfId="128" priority="166" operator="equal">
      <formula>1</formula>
    </cfRule>
    <cfRule type="cellIs" dxfId="127" priority="167" operator="between">
      <formula>0.69</formula>
      <formula>0.91</formula>
    </cfRule>
    <cfRule type="cellIs" dxfId="126" priority="168" operator="between">
      <formula>0.41</formula>
      <formula>0.69</formula>
    </cfRule>
    <cfRule type="cellIs" dxfId="125" priority="169" operator="between">
      <formula>0.09</formula>
      <formula>0.41</formula>
    </cfRule>
    <cfRule type="cellIs" dxfId="124" priority="170" operator="equal">
      <formula>0</formula>
    </cfRule>
  </conditionalFormatting>
  <conditionalFormatting sqref="M628">
    <cfRule type="cellIs" dxfId="123" priority="161" operator="equal">
      <formula>1</formula>
    </cfRule>
    <cfRule type="cellIs" dxfId="122" priority="162" operator="between">
      <formula>0.69</formula>
      <formula>0.91</formula>
    </cfRule>
    <cfRule type="cellIs" dxfId="121" priority="163" operator="between">
      <formula>0.41</formula>
      <formula>0.69</formula>
    </cfRule>
    <cfRule type="cellIs" dxfId="120" priority="164" operator="between">
      <formula>0.09</formula>
      <formula>0.41</formula>
    </cfRule>
    <cfRule type="cellIs" dxfId="119" priority="165" operator="equal">
      <formula>0</formula>
    </cfRule>
  </conditionalFormatting>
  <conditionalFormatting sqref="M630">
    <cfRule type="cellIs" dxfId="118" priority="156" operator="equal">
      <formula>1</formula>
    </cfRule>
    <cfRule type="cellIs" dxfId="117" priority="157" operator="between">
      <formula>0.69</formula>
      <formula>0.91</formula>
    </cfRule>
    <cfRule type="cellIs" dxfId="116" priority="158" operator="between">
      <formula>0.41</formula>
      <formula>0.69</formula>
    </cfRule>
    <cfRule type="cellIs" dxfId="115" priority="159" operator="between">
      <formula>0.09</formula>
      <formula>0.41</formula>
    </cfRule>
    <cfRule type="cellIs" dxfId="114" priority="160" operator="equal">
      <formula>0</formula>
    </cfRule>
  </conditionalFormatting>
  <conditionalFormatting sqref="M632">
    <cfRule type="cellIs" dxfId="113" priority="151" operator="equal">
      <formula>1</formula>
    </cfRule>
    <cfRule type="cellIs" dxfId="112" priority="152" operator="between">
      <formula>0.69</formula>
      <formula>0.91</formula>
    </cfRule>
    <cfRule type="cellIs" dxfId="111" priority="153" operator="between">
      <formula>0.41</formula>
      <formula>0.69</formula>
    </cfRule>
    <cfRule type="cellIs" dxfId="110" priority="154" operator="between">
      <formula>0.09</formula>
      <formula>0.41</formula>
    </cfRule>
    <cfRule type="cellIs" dxfId="109" priority="155" operator="equal">
      <formula>0</formula>
    </cfRule>
  </conditionalFormatting>
  <conditionalFormatting sqref="M634">
    <cfRule type="cellIs" dxfId="108" priority="146" operator="equal">
      <formula>1</formula>
    </cfRule>
    <cfRule type="cellIs" dxfId="107" priority="147" operator="between">
      <formula>0.69</formula>
      <formula>0.91</formula>
    </cfRule>
    <cfRule type="cellIs" dxfId="106" priority="148" operator="between">
      <formula>0.41</formula>
      <formula>0.69</formula>
    </cfRule>
    <cfRule type="cellIs" dxfId="105" priority="149" operator="between">
      <formula>0.09</formula>
      <formula>0.41</formula>
    </cfRule>
    <cfRule type="cellIs" dxfId="104" priority="150" operator="equal">
      <formula>0</formula>
    </cfRule>
  </conditionalFormatting>
  <conditionalFormatting sqref="M636">
    <cfRule type="cellIs" dxfId="103" priority="141" operator="equal">
      <formula>1</formula>
    </cfRule>
    <cfRule type="cellIs" dxfId="102" priority="142" operator="between">
      <formula>0.69</formula>
      <formula>0.91</formula>
    </cfRule>
    <cfRule type="cellIs" dxfId="101" priority="143" operator="between">
      <formula>0.41</formula>
      <formula>0.69</formula>
    </cfRule>
    <cfRule type="cellIs" dxfId="100" priority="144" operator="between">
      <formula>0.09</formula>
      <formula>0.41</formula>
    </cfRule>
    <cfRule type="cellIs" dxfId="99" priority="145" operator="equal">
      <formula>0</formula>
    </cfRule>
  </conditionalFormatting>
  <conditionalFormatting sqref="M638">
    <cfRule type="cellIs" dxfId="98" priority="136" operator="equal">
      <formula>1</formula>
    </cfRule>
    <cfRule type="cellIs" dxfId="97" priority="137" operator="between">
      <formula>0.69</formula>
      <formula>0.91</formula>
    </cfRule>
    <cfRule type="cellIs" dxfId="96" priority="138" operator="between">
      <formula>0.41</formula>
      <formula>0.69</formula>
    </cfRule>
    <cfRule type="cellIs" dxfId="95" priority="139" operator="between">
      <formula>0.09</formula>
      <formula>0.41</formula>
    </cfRule>
    <cfRule type="cellIs" dxfId="94" priority="140" operator="equal">
      <formula>0</formula>
    </cfRule>
  </conditionalFormatting>
  <conditionalFormatting sqref="M640">
    <cfRule type="cellIs" dxfId="93" priority="131" operator="equal">
      <formula>1</formula>
    </cfRule>
    <cfRule type="cellIs" dxfId="92" priority="132" operator="between">
      <formula>0.69</formula>
      <formula>0.91</formula>
    </cfRule>
    <cfRule type="cellIs" dxfId="91" priority="133" operator="between">
      <formula>0.41</formula>
      <formula>0.69</formula>
    </cfRule>
    <cfRule type="cellIs" dxfId="90" priority="134" operator="between">
      <formula>0.09</formula>
      <formula>0.41</formula>
    </cfRule>
    <cfRule type="cellIs" dxfId="89" priority="135" operator="equal">
      <formula>0</formula>
    </cfRule>
  </conditionalFormatting>
  <conditionalFormatting sqref="M642">
    <cfRule type="cellIs" dxfId="88" priority="126" operator="equal">
      <formula>1</formula>
    </cfRule>
    <cfRule type="cellIs" dxfId="87" priority="127" operator="between">
      <formula>0.69</formula>
      <formula>0.91</formula>
    </cfRule>
    <cfRule type="cellIs" dxfId="86" priority="128" operator="between">
      <formula>0.41</formula>
      <formula>0.69</formula>
    </cfRule>
    <cfRule type="cellIs" dxfId="85" priority="129" operator="between">
      <formula>0.09</formula>
      <formula>0.41</formula>
    </cfRule>
    <cfRule type="cellIs" dxfId="84" priority="130" operator="equal">
      <formula>0</formula>
    </cfRule>
  </conditionalFormatting>
  <conditionalFormatting sqref="M644">
    <cfRule type="cellIs" dxfId="83" priority="121" operator="equal">
      <formula>1</formula>
    </cfRule>
    <cfRule type="cellIs" dxfId="82" priority="122" operator="between">
      <formula>0.69</formula>
      <formula>0.91</formula>
    </cfRule>
    <cfRule type="cellIs" dxfId="81" priority="123" operator="between">
      <formula>0.41</formula>
      <formula>0.69</formula>
    </cfRule>
    <cfRule type="cellIs" dxfId="80" priority="124" operator="between">
      <formula>0.09</formula>
      <formula>0.41</formula>
    </cfRule>
    <cfRule type="cellIs" dxfId="79" priority="125" operator="equal">
      <formula>0</formula>
    </cfRule>
  </conditionalFormatting>
  <conditionalFormatting sqref="M649">
    <cfRule type="cellIs" dxfId="78" priority="116" operator="equal">
      <formula>1</formula>
    </cfRule>
    <cfRule type="cellIs" dxfId="77" priority="117" operator="between">
      <formula>0.69</formula>
      <formula>0.91</formula>
    </cfRule>
    <cfRule type="cellIs" dxfId="76" priority="118" operator="between">
      <formula>0.41</formula>
      <formula>0.69</formula>
    </cfRule>
    <cfRule type="cellIs" dxfId="75" priority="119" operator="between">
      <formula>0.09</formula>
      <formula>0.41</formula>
    </cfRule>
    <cfRule type="cellIs" dxfId="74" priority="120" operator="equal">
      <formula>0</formula>
    </cfRule>
  </conditionalFormatting>
  <conditionalFormatting sqref="M651">
    <cfRule type="cellIs" dxfId="73" priority="111" operator="equal">
      <formula>1</formula>
    </cfRule>
    <cfRule type="cellIs" dxfId="72" priority="112" operator="between">
      <formula>0.69</formula>
      <formula>0.91</formula>
    </cfRule>
    <cfRule type="cellIs" dxfId="71" priority="113" operator="between">
      <formula>0.41</formula>
      <formula>0.69</formula>
    </cfRule>
    <cfRule type="cellIs" dxfId="70" priority="114" operator="between">
      <formula>0.09</formula>
      <formula>0.41</formula>
    </cfRule>
    <cfRule type="cellIs" dxfId="69" priority="115" operator="equal">
      <formula>0</formula>
    </cfRule>
  </conditionalFormatting>
  <conditionalFormatting sqref="M653">
    <cfRule type="cellIs" dxfId="68" priority="106" operator="equal">
      <formula>1</formula>
    </cfRule>
    <cfRule type="cellIs" dxfId="67" priority="107" operator="between">
      <formula>0.69</formula>
      <formula>0.91</formula>
    </cfRule>
    <cfRule type="cellIs" dxfId="66" priority="108" operator="between">
      <formula>0.41</formula>
      <formula>0.69</formula>
    </cfRule>
    <cfRule type="cellIs" dxfId="65" priority="109" operator="between">
      <formula>0.09</formula>
      <formula>0.41</formula>
    </cfRule>
    <cfRule type="cellIs" dxfId="64" priority="110" operator="equal">
      <formula>0</formula>
    </cfRule>
  </conditionalFormatting>
  <conditionalFormatting sqref="M655">
    <cfRule type="cellIs" dxfId="63" priority="101" operator="equal">
      <formula>1</formula>
    </cfRule>
    <cfRule type="cellIs" dxfId="62" priority="102" operator="between">
      <formula>0.69</formula>
      <formula>0.91</formula>
    </cfRule>
    <cfRule type="cellIs" dxfId="61" priority="103" operator="between">
      <formula>0.41</formula>
      <formula>0.69</formula>
    </cfRule>
    <cfRule type="cellIs" dxfId="60" priority="104" operator="between">
      <formula>0.09</formula>
      <formula>0.41</formula>
    </cfRule>
    <cfRule type="cellIs" dxfId="59" priority="105" operator="equal">
      <formula>0</formula>
    </cfRule>
  </conditionalFormatting>
  <conditionalFormatting sqref="M657">
    <cfRule type="cellIs" dxfId="58" priority="96" operator="equal">
      <formula>1</formula>
    </cfRule>
    <cfRule type="cellIs" dxfId="57" priority="97" operator="between">
      <formula>0.69</formula>
      <formula>0.91</formula>
    </cfRule>
    <cfRule type="cellIs" dxfId="56" priority="98" operator="between">
      <formula>0.41</formula>
      <formula>0.69</formula>
    </cfRule>
    <cfRule type="cellIs" dxfId="55" priority="99" operator="between">
      <formula>0.09</formula>
      <formula>0.41</formula>
    </cfRule>
    <cfRule type="cellIs" dxfId="54" priority="100" operator="equal">
      <formula>0</formula>
    </cfRule>
  </conditionalFormatting>
  <conditionalFormatting sqref="M659">
    <cfRule type="cellIs" dxfId="53" priority="91" operator="equal">
      <formula>1</formula>
    </cfRule>
    <cfRule type="cellIs" dxfId="52" priority="92" operator="between">
      <formula>0.69</formula>
      <formula>0.91</formula>
    </cfRule>
    <cfRule type="cellIs" dxfId="51" priority="93" operator="between">
      <formula>0.41</formula>
      <formula>0.69</formula>
    </cfRule>
    <cfRule type="cellIs" dxfId="50" priority="94" operator="between">
      <formula>0.09</formula>
      <formula>0.41</formula>
    </cfRule>
    <cfRule type="cellIs" dxfId="49" priority="95" operator="equal">
      <formula>0</formula>
    </cfRule>
  </conditionalFormatting>
  <conditionalFormatting sqref="M661">
    <cfRule type="cellIs" dxfId="48" priority="86" operator="equal">
      <formula>1</formula>
    </cfRule>
    <cfRule type="cellIs" dxfId="47" priority="87" operator="between">
      <formula>0.69</formula>
      <formula>0.91</formula>
    </cfRule>
    <cfRule type="cellIs" dxfId="46" priority="88" operator="between">
      <formula>0.41</formula>
      <formula>0.69</formula>
    </cfRule>
    <cfRule type="cellIs" dxfId="45" priority="89" operator="between">
      <formula>0.09</formula>
      <formula>0.41</formula>
    </cfRule>
    <cfRule type="cellIs" dxfId="44" priority="90" operator="equal">
      <formula>0</formula>
    </cfRule>
  </conditionalFormatting>
  <conditionalFormatting sqref="M663">
    <cfRule type="cellIs" dxfId="43" priority="171" operator="equal">
      <formula>1</formula>
    </cfRule>
    <cfRule type="cellIs" dxfId="42" priority="172" operator="between">
      <formula>0.69</formula>
      <formula>0.91</formula>
    </cfRule>
    <cfRule type="cellIs" dxfId="41" priority="173" operator="between">
      <formula>0.41</formula>
      <formula>0.69</formula>
    </cfRule>
    <cfRule type="cellIs" dxfId="40" priority="174" operator="between">
      <formula>0.09</formula>
      <formula>0.41</formula>
    </cfRule>
    <cfRule type="cellIs" dxfId="39" priority="175" operator="equal">
      <formula>0</formula>
    </cfRule>
  </conditionalFormatting>
  <conditionalFormatting sqref="M665">
    <cfRule type="cellIs" dxfId="38" priority="81" operator="equal">
      <formula>1</formula>
    </cfRule>
    <cfRule type="cellIs" dxfId="37" priority="82" operator="between">
      <formula>0.69</formula>
      <formula>0.91</formula>
    </cfRule>
    <cfRule type="cellIs" dxfId="36" priority="83" operator="between">
      <formula>0.41</formula>
      <formula>0.69</formula>
    </cfRule>
    <cfRule type="cellIs" dxfId="35" priority="84" operator="between">
      <formula>0.09</formula>
      <formula>0.41</formula>
    </cfRule>
    <cfRule type="cellIs" dxfId="34" priority="85" operator="equal">
      <formula>0</formula>
    </cfRule>
  </conditionalFormatting>
  <conditionalFormatting sqref="M667">
    <cfRule type="cellIs" dxfId="33" priority="76" operator="equal">
      <formula>1</formula>
    </cfRule>
    <cfRule type="cellIs" dxfId="32" priority="77" operator="between">
      <formula>0.69</formula>
      <formula>0.91</formula>
    </cfRule>
    <cfRule type="cellIs" dxfId="31" priority="78" operator="between">
      <formula>0.41</formula>
      <formula>0.69</formula>
    </cfRule>
    <cfRule type="cellIs" dxfId="30" priority="79" operator="between">
      <formula>0.09</formula>
      <formula>0.41</formula>
    </cfRule>
    <cfRule type="cellIs" dxfId="29" priority="80" operator="equal">
      <formula>0</formula>
    </cfRule>
  </conditionalFormatting>
  <conditionalFormatting sqref="B142">
    <cfRule type="containsText" dxfId="28" priority="14" operator="containsText" text="SELECT">
      <formula>NOT(ISERROR(SEARCH("SELECT",B142)))</formula>
    </cfRule>
  </conditionalFormatting>
  <conditionalFormatting sqref="B142:M142">
    <cfRule type="containsText" dxfId="27" priority="13" operator="containsText" text="go to">
      <formula>NOT(ISERROR(SEARCH("go to",B142)))</formula>
    </cfRule>
  </conditionalFormatting>
  <conditionalFormatting sqref="C170">
    <cfRule type="containsText" dxfId="26" priority="12" operator="containsText" text="SELECT">
      <formula>NOT(ISERROR(SEARCH("SELECT",C170)))</formula>
    </cfRule>
  </conditionalFormatting>
  <conditionalFormatting sqref="F170">
    <cfRule type="containsText" dxfId="25" priority="11" operator="containsText" text="SELECT">
      <formula>NOT(ISERROR(SEARCH("SELECT",F170)))</formula>
    </cfRule>
  </conditionalFormatting>
  <conditionalFormatting sqref="C194">
    <cfRule type="containsText" dxfId="22" priority="8" operator="containsText" text="SELECT">
      <formula>NOT(ISERROR(SEARCH("SELECT",C194)))</formula>
    </cfRule>
  </conditionalFormatting>
  <conditionalFormatting sqref="F194">
    <cfRule type="containsText" dxfId="21" priority="7" operator="containsText" text="SELECT">
      <formula>NOT(ISERROR(SEARCH("SELECT",F194)))</formula>
    </cfRule>
  </conditionalFormatting>
  <conditionalFormatting sqref="C242">
    <cfRule type="containsText" dxfId="20" priority="6" operator="containsText" text="SELECT">
      <formula>NOT(ISERROR(SEARCH("SELECT",C242)))</formula>
    </cfRule>
  </conditionalFormatting>
  <conditionalFormatting sqref="F242">
    <cfRule type="containsText" dxfId="19" priority="5" operator="containsText" text="SELECT">
      <formula>NOT(ISERROR(SEARCH("SELECT",F242)))</formula>
    </cfRule>
  </conditionalFormatting>
  <conditionalFormatting sqref="C266">
    <cfRule type="containsText" dxfId="18" priority="4" operator="containsText" text="SELECT">
      <formula>NOT(ISERROR(SEARCH("SELECT",C266)))</formula>
    </cfRule>
  </conditionalFormatting>
  <conditionalFormatting sqref="F266">
    <cfRule type="containsText" dxfId="17" priority="3" operator="containsText" text="SELECT">
      <formula>NOT(ISERROR(SEARCH("SELECT",F266)))</formula>
    </cfRule>
  </conditionalFormatting>
  <conditionalFormatting sqref="C290">
    <cfRule type="containsText" dxfId="16" priority="2" operator="containsText" text="SELECT">
      <formula>NOT(ISERROR(SEARCH("SELECT",C290)))</formula>
    </cfRule>
  </conditionalFormatting>
  <conditionalFormatting sqref="F290">
    <cfRule type="containsText" dxfId="15" priority="1" operator="containsText" text="SELECT">
      <formula>NOT(ISERROR(SEARCH("SELECT",F290)))</formula>
    </cfRule>
  </conditionalFormatting>
  <dataValidations count="13">
    <dataValidation type="list" errorStyle="warning" allowBlank="1" showInputMessage="1" showErrorMessage="1" error="Select one of the three items in the dropdown list" sqref="L218 L602 L146 L170 L194 L242 L266 L314 L338 L362 L386 L410 L434 L458 L482 L506 L530 L554 L578 L290" xr:uid="{6C482F90-6EF0-48DD-BFA2-E7474FBC254A}">
      <formula1>$F$1011:$F$1013</formula1>
    </dataValidation>
    <dataValidation type="list" errorStyle="warning" allowBlank="1" showInputMessage="1" showErrorMessage="1" error="Select one of the five options in the dropdown list" sqref="J219:L219 C602 J171:L171 C146 J147:L147 C170 J195:L195 C218 J243:L243 C194 J267:L267 C242 J291:L291 C266 C314 J315:L315 J339:L339 J363:L363 J387:L387 J411:L411 J435:L435 J459:L459 J483:L483 J507:L507 J531:L531 J555:L555 J579:L579 J603:L603 C338 C362 C386 C410 C434 C458 C482 C506 C530 C554 C578 C290" xr:uid="{45627AAA-8FB9-4F9F-AAF7-7B89865717FB}">
      <formula1>$H$1011:$H$1012</formula1>
    </dataValidation>
    <dataValidation type="list" errorStyle="warning" allowBlank="1" showInputMessage="1" showErrorMessage="1" error="Select one of the five options in the dropdown list" sqref="L622 L149 L173 L166 L190 L214 L197 L238 L245 L262 L269 L286 L293 L310 L317 L334 L341 L358 L365 L382 L389 L406 L413 L430 L437 L454 L461 L478 L485 L502 L509 L526 L533 L550 L557 L574 L581 L598 L605 L221" xr:uid="{6EF443F5-18BE-412E-BE2A-6BDE1B8C01A4}">
      <formula1>$C$1011:$C$1016</formula1>
    </dataValidation>
    <dataValidation type="list" errorStyle="warning" allowBlank="1" showInputMessage="1" showErrorMessage="1" sqref="H622 E149 H149 E622 E173 H173 H166 E166 H190 E190 H214 E214 E197 H197 H238 E238 H245 H221 H262 E262 H269 E269 H286 E286 H293 E293 H310 E310 H317 E317 H334 E334 H341 E341 H358 E358 H365 E365 H382 E382 H389 E389 H406 E406 H413 E413 H430 E430 H437 E437 H454 E454 H461 E461 H478 E478 H485 E485 H502 E502 H509 E509 H526 E526 H533 E533 H550 E550 H557 E557 H574 E574 H581 E581 H598 E598 H605 E605 E221 E245" xr:uid="{70FD9A9A-6100-4614-85DD-9BA547E9D44A}">
      <formula1>$J$1011:$J$1013</formula1>
    </dataValidation>
    <dataValidation type="list" errorStyle="warning" allowBlank="1" showInputMessage="1" showErrorMessage="1" sqref="K605 M611 M179 K149 M155 M203 K173 K166 K190 K214 M227 K197 K238 M251 K245 K262 M275 K269 K286 M299 K293 K310 M323 K317 K334 M347 K341 K358 M371 K365 K382 M395 K389 K406 M419 K413 K430 M443 K437 K454 M467 K461 K478 M491 K485 K502 M515 K509 K526 M539 K533 K550 M563 K557 K574 M587 K581 K598 K622 K221" xr:uid="{3C418F66-DCFF-488F-BD2A-1166B4407945}">
      <formula1>$M$1011:$M$1025</formula1>
    </dataValidation>
    <dataValidation type="list" errorStyle="warning" allowBlank="1" showInputMessage="1" showErrorMessage="1" sqref="E151 E175 E199 E223 E247 E271 E295 E319 E343 E367 E391 E415 E439 E463 E487 E511 E535 E559 E583 E607" xr:uid="{E2DEDBF1-E085-4012-9801-FDC2CE1F3FC4}">
      <formula1>$P$1011:$P$1015</formula1>
    </dataValidation>
    <dataValidation type="list" errorStyle="warning" allowBlank="1" showInputMessage="1" showErrorMessage="1" sqref="K151:M151 K175:M175 K199:M199 K223:M223 K247:M247 K271:M271 K295:M295 K319:M319 K343:M343 K367:M367 K391:M391 K415:M415 K439:M439 K463:M463 K487:M487 K511:M511 K535:M535 K559:M559 K583:M583 K607:M607" xr:uid="{BF6A9F5E-EA19-4834-B174-5F4F5B8A8FF5}">
      <formula1>$R$1011:$R$1016</formula1>
    </dataValidation>
    <dataValidation type="list" errorStyle="warning" allowBlank="1" showInputMessage="1" showErrorMessage="1" sqref="M185 M233 M257 M281 M305 M329 M353 M377 M401 M425 M449 M473 M497 M521 M545 M569 M593 M209 M617 M161" xr:uid="{8EEA5EB3-4DA4-4782-832A-1CDBEF427096}">
      <formula1>$C$1011:$C$1016</formula1>
    </dataValidation>
    <dataValidation type="list" errorStyle="warning" allowBlank="1" showInputMessage="1" showErrorMessage="1" error="Choose an item from the dropdown list" sqref="F146:H146 F170:H170 F602:H602 F218:H218 F194:H194 F242:H242 F266:H266 F314:H314 F338:H338 F362:H362 F386:H386 F410:H410 F434:H434 F458:H458 F482:H482 F506:H506 F530:H530 F554:H554 F578:H578 F290:H290" xr:uid="{67C36CB1-B0E8-4A6C-A713-A62931C31B8E}">
      <formula1>$K$1011:$K$1028</formula1>
    </dataValidation>
    <dataValidation type="list" errorStyle="warning" allowBlank="1" showInputMessage="1" showErrorMessage="1" sqref="I146 I602 I554 I530 I506 I482 I458 I434 I410 I386 I362 I338 I314 I218 I242 I578" xr:uid="{B9243E6D-082C-4869-BE63-F3E1891FB310}">
      <formula1>$Z$1011:$Z$1017</formula1>
    </dataValidation>
    <dataValidation type="list" errorStyle="warning" allowBlank="1" showInputMessage="1" showErrorMessage="1" sqref="G161:I161 G185:I185 G209:I209 G233:I233 G257:I257 G281:I281 G305:I305 G329:I329 G353:I353 G377:I377 G401:I401 G425:I425 G449:I449 G473:I473 G497:I497 G521:I521 G545:I545 G569:I569 G593:I593 G617:I617" xr:uid="{A5F7C6A6-D711-4E3E-811E-66CE16304989}">
      <formula1>$X$1011:$X$1016</formula1>
    </dataValidation>
    <dataValidation type="list" errorStyle="warning" allowBlank="1" showInputMessage="1" showErrorMessage="1" sqref="G155:I155 G611:I611 G587:I587 G563:I563 G539:I539 G515:I515 G491:I491 G467:I467 G443:I443 G419:I419 G395:I395 G371:I371 G347:I347 G323:I323 G299:I299 G275:I275 G251:I251 G227:I227 G203:I203 G179:I179" xr:uid="{6F0BEE21-F436-4197-9FFA-409556A3C15C}">
      <formula1>$U$1011:$U$1016</formula1>
    </dataValidation>
    <dataValidation type="list" errorStyle="warning" allowBlank="1" showInputMessage="1" showErrorMessage="1" sqref="I170 I194 I266 I290" xr:uid="{482B6E45-D9F2-4526-B7E0-D45FF1B2C2EB}">
      <formula1>$Y$1011:$Y$1017</formula1>
    </dataValidation>
  </dataValidations>
  <hyperlinks>
    <hyperlink ref="A6:N6" r:id="rId1" tooltip="Go to &quot;Wellness Campaign&quot; page at AnankelogyFoundation.org" display="If confronted with a problem that a wellness campaign can effectively address, let's see if this pioneering option is a good fit for you. This short program takes you through the follow steps, so you can decide for yourself." xr:uid="{9D645AD2-B24D-49C7-B3DC-AD49074FE8C2}"/>
    <hyperlink ref="B4:M4" r:id="rId2" display="Anankelogy Foundation" xr:uid="{9411410C-E6BF-459E-A941-8C61A86E8E1A}"/>
    <hyperlink ref="B142:M142" location="'full warmup'!A672:N688" tooltip="to Responsiveness Report below invitee entries" display="'full warmup'!A672:N688" xr:uid="{A8BE4E6E-F60B-45A5-BCBF-5A9F42F33F01}"/>
    <hyperlink ref="B672:M672" location="'supplement warmup'!B142:M142" tooltip="back to the top" display="Responsiveness Report" xr:uid="{2EADF37F-ECAC-4CEF-98F6-56C45024B5C4}"/>
    <hyperlink ref="B119" location="'full warmup'!A144:N167" tooltip="go to entry 01" display="'full warmup'!A144:N167" xr:uid="{4984647A-25D6-42F8-AC02-8E357C0F3511}"/>
    <hyperlink ref="B120" location="'full warmup'!A168:N191" tooltip="go to entry 02" display="'full warmup'!A168:N191" xr:uid="{B6CA5DC0-90D4-4069-A84A-363C14FAB288}"/>
    <hyperlink ref="C144" location="RS!B119:M119" tooltip="back to name list: #01" display="RS!B119:M119" xr:uid="{078B3CBD-0441-4C18-9134-B3E778E34C9E}"/>
    <hyperlink ref="I679:M679" r:id="rId3" display="https://www.anankelogyfoundation.org/forum/questions-answers" xr:uid="{0AE07AD7-2575-429D-A808-38D0D3D1F497}"/>
    <hyperlink ref="C679:G679" r:id="rId4" display="https://www.anankelogyfoundation.org/need-response/wellness-campaign" xr:uid="{BA51A9F3-C2D0-4A61-8302-CB13A21FA1BE}"/>
    <hyperlink ref="C168" location="RS!B120:M120" tooltip="back to name list: #02" display="RS!B120:M120" xr:uid="{E184F9E2-A49F-4A0D-8556-9ACB58E05435}"/>
    <hyperlink ref="B121" location="'full warmup'!A192:N215" tooltip="to entry 03" display="'full warmup'!A192:N215" xr:uid="{A47F8280-50CF-43AE-AD3E-FB40EC01A56F}"/>
    <hyperlink ref="B122" location="'full warmup'!A215:N239" tooltip="to entry 04" display="'full warmup'!A215:N239" xr:uid="{147FDC3F-BC05-4075-8E50-E5E467D54FE6}"/>
    <hyperlink ref="B123" location="'full warmup'!A240:N263" tooltip="to entry 05" display="'full warmup'!A240:N263" xr:uid="{928165C6-7BD8-40A0-B365-DC544B43B14A}"/>
    <hyperlink ref="B124" location="'full warmup'!A264:N287" tooltip="to entry 06" display="'full warmup'!A264:N287" xr:uid="{23E59B3E-AACF-4AC0-80F0-5EA7BC74C650}"/>
    <hyperlink ref="B125" location="'full warmup'!A288:N311" tooltip="to entry 07" display="'full warmup'!A288:N311" xr:uid="{071E5911-82D0-4366-B928-54E024BAA78D}"/>
    <hyperlink ref="B126" location="'full warmup'!A312:N335" tooltip="to entry 08" display="'full warmup'!A312:N335" xr:uid="{88D0CF9F-9E26-45D9-B61C-A555B3F0A39C}"/>
    <hyperlink ref="B127" location="'full warmup'!A336:N359" tooltip="to entry 09" display="'full warmup'!A336:N359" xr:uid="{90234364-A672-47D6-AC3B-5B9362D797F4}"/>
    <hyperlink ref="B128" location="'full warmup'!A360:N383" tooltip="to entry 10" display="'full warmup'!A360:N383" xr:uid="{610D1504-33F2-4456-A5EA-8488156F9930}"/>
    <hyperlink ref="B129" location="'full warmup'!A384:N407" tooltip="to entry 11" display="'full warmup'!A384:N407" xr:uid="{328750A2-0413-4097-A047-9E4216563B4F}"/>
    <hyperlink ref="B130" location="'full warmup'!A408:N431" tooltip="to entry 12" display="'full warmup'!A408:N431" xr:uid="{3C54B7BE-5287-4B1C-B589-5C67C60C5B5C}"/>
    <hyperlink ref="B131" location="'full warmup'!A432:N455" tooltip="to entry 13" display="'full warmup'!A432:N455" xr:uid="{260D6C92-195D-4F6A-8C09-A48F3D41E7D6}"/>
    <hyperlink ref="B132" location="'full warmup'!A456:N479" tooltip="to entry 14" display="'full warmup'!A456:N479" xr:uid="{FDC08D00-70B9-4F12-A48C-50CCBF97A273}"/>
    <hyperlink ref="B133" location="'full warmup'!A480:N503" tooltip="to entry 15" display="'full warmup'!A480:N503" xr:uid="{C094C6B3-9DA0-487F-8C86-A4F78BC39BFE}"/>
    <hyperlink ref="B134" location="'full warmup'!A504:N527" tooltip="to entry 16" display="'full warmup'!A504:N527" xr:uid="{FDB62B4B-767B-4156-AF2D-0290324BF23F}"/>
    <hyperlink ref="B135" location="'full warmup'!A528:N551" tooltip="to entry 17" display="'full warmup'!A528:N551" xr:uid="{758E85FB-6661-4895-8A5E-88397CCDEB83}"/>
    <hyperlink ref="B136" location="'full warmup'!A552:N575" tooltip="to entry 18" display="'full warmup'!A552:N575" xr:uid="{E7B00E26-EDB0-46F5-A636-31BEC3F0A031}"/>
    <hyperlink ref="B137" location="'full warmup'!A576:N599" tooltip="to entry 19" display="'full warmup'!A576:N599" xr:uid="{4367F2BC-19EE-49FE-983D-4C7322E27383}"/>
    <hyperlink ref="B138" location="'full warmup'!A600:N623" tooltip="to entry 20" display="'full warmup'!A600:N623" xr:uid="{85D026D8-1DEE-4516-86A2-373DEBF63ED1}"/>
    <hyperlink ref="C600" location="RS!B138:M138" tooltip="back to name list: #20" display="RS!B138:M138" xr:uid="{BF60EB06-A817-422D-9C37-D3925B9AEE44}"/>
    <hyperlink ref="C576" location="RS!B137:M137" tooltip="back to name list: #19" display="RS!B137:M137" xr:uid="{CC44E7A8-E1F7-4FCA-8FDC-9BB18C604D3F}"/>
    <hyperlink ref="C552" location="RS!B136:M136" tooltip="back to name list: #18" display="RS!B136:M136" xr:uid="{2F55A5DF-8D21-41C7-87CC-96FBD7E539CF}"/>
    <hyperlink ref="C528" location="RS!B135:M135" tooltip="back to name list: #17" display="RS!B135:M135" xr:uid="{94CE26D2-8DEF-4850-8765-8562170942AA}"/>
    <hyperlink ref="C504" location="RS!B134:M134" tooltip="back to name list: #16" display="RS!B134:M134" xr:uid="{0CF9F174-2929-49D4-91AB-77042FAB17F2}"/>
    <hyperlink ref="C480" location="RS!B133:M133" tooltip="back to name list: #15" display="RS!B133:M133" xr:uid="{76A6D4C1-C4DC-4D2A-AA76-32A863647B24}"/>
    <hyperlink ref="C456" location="RS!B132:M132" tooltip="back to name list: #14" display="RS!B132:M132" xr:uid="{396FB680-F279-4A97-BEF6-DCAABF321969}"/>
    <hyperlink ref="C432" location="RS!B131:M131" tooltip="back to name list: #13" display="RS!B131:M131" xr:uid="{103D4286-6117-4686-9788-731293DB1668}"/>
    <hyperlink ref="C408" location="RS!B130:M130" tooltip="back to name list: #12" display="RS!B130:M130" xr:uid="{6A73537B-B72A-45FF-A5A4-8041FD5A9CF0}"/>
    <hyperlink ref="C384" location="RS!B129:M129" tooltip="back to name list: #11" display="RS!B129:M129" xr:uid="{46D47FEA-3F4B-4342-AB7D-7426B9A14C2B}"/>
    <hyperlink ref="C360" location="RS!B128:M128" tooltip="back to name list: #10" display="RS!B128:M128" xr:uid="{E9EB42A1-0D83-49F5-8BFC-F0AD3131624D}"/>
    <hyperlink ref="C336" location="RS!B127:M127" tooltip="back to name list: #09" display="RS!B127:M127" xr:uid="{FD6E2046-C4DC-46BF-8D3F-D9647254321C}"/>
    <hyperlink ref="C312" location="RS!B126:M126" tooltip="back to name list: #08" display="RS!B126:M126" xr:uid="{A08D4794-7C5E-4A9A-9B96-6BFFC9103485}"/>
    <hyperlink ref="C288" location="RS!B125:M125" tooltip="back to name list: #07" display="RS!B125:M125" xr:uid="{24B24D66-43FB-4B8D-9ACC-45B50C4A3794}"/>
    <hyperlink ref="C264" location="RS!B124:M124" tooltip="back to name list: #06" display="RS!B124:M124" xr:uid="{AA2CB4D3-F0F1-4C5C-B44F-EC7E70AAE1BC}"/>
    <hyperlink ref="C240" location="RS!B123:M123" tooltip="back to name list: #05" display="RS!B123:M123" xr:uid="{0602514E-DC98-4D98-AC7F-DD36BDF8492F}"/>
    <hyperlink ref="C216" location="RS!B122:M122" tooltip="back to name list: #04" display="RS!B122:M122" xr:uid="{8EED16FB-F4F3-490C-AA25-03E7856580FC}"/>
    <hyperlink ref="C192" location="RS!B121:M121" tooltip="back to name list: #03" display="RS!B121:M121" xr:uid="{F4567611-A96B-4D0D-91BF-64C0422DB0A8}"/>
    <hyperlink ref="B144" location="'full warmup'!A1:N7" tooltip="back to top" display="'full warmup'!A1:N7" xr:uid="{009DB4A7-9909-423C-9BE6-3721A75623CB}"/>
    <hyperlink ref="B168" location="'full warmup'!A1:N7" tooltip="back to top" display="'full warmup'!A1:N7" xr:uid="{5F9ECA33-0269-4309-9957-47266AEB7FDA}"/>
    <hyperlink ref="B192" location="'full warmup'!A1:N7" tooltip="back to top" display="'full warmup'!A1:N7" xr:uid="{76A1089A-9E95-49B0-BA70-F097FB75B428}"/>
    <hyperlink ref="B216" location="'full warmup'!A1:N7" tooltip="back to top" display="'full warmup'!A1:N7" xr:uid="{044FE6E3-E010-45C3-9C91-FB393EC4EB2F}"/>
    <hyperlink ref="B240" location="'full warmup'!A1:N7" tooltip="back to top" display="'full warmup'!A1:N7" xr:uid="{E56BDB8E-1CF1-40EF-98BA-33E4CF48F424}"/>
    <hyperlink ref="B264" location="'full warmup'!A1:N7" tooltip="back to top" display="'full warmup'!A1:N7" xr:uid="{EB8D8BF5-C48A-429C-A44B-1581C2414C5C}"/>
    <hyperlink ref="B288" location="'full warmup'!A1:N7" tooltip="back to top" display="'full warmup'!A1:N7" xr:uid="{9B9E2DB9-F14D-4C94-917E-7A56BF52CB44}"/>
    <hyperlink ref="B312" location="'full warmup'!A1:N7" tooltip="back to top" display="'full warmup'!A1:N7" xr:uid="{DB760901-6D2C-45D5-9FD9-D8002E1B9822}"/>
    <hyperlink ref="B336" location="'full warmup'!A1:N7" tooltip="back to top" display="'full warmup'!A1:N7" xr:uid="{8F82BA5A-CE5E-4917-BA2D-F6E576A097A2}"/>
    <hyperlink ref="B360" location="'full warmup'!A1:N7" tooltip="back to top" display="'full warmup'!A1:N7" xr:uid="{8DBC52C3-5ABB-4E6B-8135-5DE7A2B848A1}"/>
    <hyperlink ref="B384" location="'full warmup'!A1:N7" tooltip="back to top" display="'full warmup'!A1:N7" xr:uid="{672D3AE0-30A0-43DD-BE8A-8BB993F3BEBC}"/>
    <hyperlink ref="B408" location="'full warmup'!A1:N7" tooltip="back to top" display="'full warmup'!A1:N7" xr:uid="{BC92E1F0-B9A1-4012-BEB1-B7D796CB98D7}"/>
    <hyperlink ref="B432" location="'full warmup'!A1:N7" tooltip="back to top" display="'full warmup'!A1:N7" xr:uid="{18A4F4E0-95BB-4F52-9CC8-DD0259036C63}"/>
    <hyperlink ref="B456" location="'full warmup'!A1:N7" tooltip="back to top" display="'full warmup'!A1:N7" xr:uid="{72F0B093-3C58-4115-876B-22AC271E5274}"/>
    <hyperlink ref="B480" location="'full warmup'!A1:N7" tooltip="back to top" display="'full warmup'!A1:N7" xr:uid="{B2ED1E31-841D-484B-9D17-D39E9A27FE21}"/>
    <hyperlink ref="B504" location="'full warmup'!A1:N7" tooltip="back to top" display="'full warmup'!A1:N7" xr:uid="{5199C13C-A1B9-4F14-AA61-DD74CFC674AD}"/>
    <hyperlink ref="B528" location="'full warmup'!A1:N7" tooltip="back to top" display="'full warmup'!A1:N7" xr:uid="{E9F2786C-C758-4A3F-A20C-5D62D99659E3}"/>
    <hyperlink ref="B552" location="'full warmup'!A1:N7" tooltip="back to top" display="'full warmup'!A1:N7" xr:uid="{2265D98B-857B-4FC5-B97F-0A8D5E7BE3C9}"/>
    <hyperlink ref="B576" location="'full warmup'!A1:N7" tooltip="back to top" display="'full warmup'!A1:N7" xr:uid="{C0A762C8-D712-40DE-A149-00C7ED8B6391}"/>
    <hyperlink ref="B600" location="'full warmup'!A1:N7" tooltip="back to top" display="'full warmup'!A1:N7" xr:uid="{BA449846-98DB-4741-9F47-26410A1F6334}"/>
    <hyperlink ref="C118:E118" location="invite!B2" tooltip="Click to select a name to invite to join your wellness campaign" display="Invitee first name" xr:uid="{AD35E2C1-991E-420A-B608-6CFA04504A08}"/>
    <hyperlink ref="C144:K144" location="'full warmup'!B119:H119" tooltip="back to name list: #01" display="'full warmup'!B119:H119" xr:uid="{E0D961CA-3DF7-4136-AECE-9146D44E3B05}"/>
    <hyperlink ref="C600:K600" location="'full warmup'!B138:H138" tooltip="back to name list: #20" display="'full warmup'!B138:H138" xr:uid="{06E01F79-C2B5-428A-9E7E-D6B49821FB4A}"/>
    <hyperlink ref="C576:K576" location="'full warmup'!B137:H137" tooltip="back to name list: #19" display="'full warmup'!B137:H137" xr:uid="{9434D508-30DE-4C9B-BAB3-C01A2E48B0D7}"/>
    <hyperlink ref="C552:K552" location="'full warmup'!B136:H136" tooltip="back to name list: #18" display="'full warmup'!B136:H136" xr:uid="{07CB9844-7580-4546-B0E5-10E1F73A522F}"/>
    <hyperlink ref="C528:K528" location="'full warmup'!B135:H135" tooltip="back to name list: #17" display="'full warmup'!B135:H135" xr:uid="{196F7F3D-0771-4D93-9E58-2293D68EF8E3}"/>
    <hyperlink ref="C504:K504" location="'full warmup'!B134:H134" tooltip="back to name list: #16" display="'full warmup'!B134:H134" xr:uid="{1602C9C2-DE8E-449A-83F9-034BD1A65323}"/>
    <hyperlink ref="C480:K480" location="'full warmup'!B133:H133" tooltip="back to name list: #15" display="'full warmup'!B133:H133" xr:uid="{3EBDA1A7-3A28-4AE2-B062-D1F00B687E05}"/>
    <hyperlink ref="C456:K456" location="'full warmup'!B132:H132" tooltip="back to name list: #14" display="'full warmup'!B132:H132" xr:uid="{F9D63203-F7E6-4E6B-B2C2-8BD7130B9512}"/>
    <hyperlink ref="C432:K432" location="'full warmup'!B131:H131" tooltip="back to name list: #13" display="'full warmup'!B131:H131" xr:uid="{5BB1A4BF-288A-4B43-BB09-BDE861A519C9}"/>
    <hyperlink ref="C408:K408" location="'full warmup'!B130:H130" tooltip="back to name list: #12" display="'full warmup'!B130:H130" xr:uid="{677336FE-EE4B-47AE-9C82-A418D4D2BCA9}"/>
    <hyperlink ref="C384:K384" location="'full warmup'!B129:H129" tooltip="back to name list: #11" display="'full warmup'!B129:H129" xr:uid="{A33F62DE-7FAD-4CDE-8AD1-7AC5FB34C63E}"/>
    <hyperlink ref="C360:K360" location="'full warmup'!B128:H128" tooltip="back to name list: #10" display="'full warmup'!B128:H128" xr:uid="{DF30FEFB-2342-49ED-9535-E424B69FE5D2}"/>
    <hyperlink ref="C336:K336" location="'full warmup'!B127:H127" tooltip="back to name list: #09" display="'full warmup'!B127:H127" xr:uid="{61D0066E-4593-445D-BD16-146F7F53E1B4}"/>
    <hyperlink ref="C312:K312" location="'full warmup'!B126:H126" tooltip="back to name list: #08" display="'full warmup'!B126:H126" xr:uid="{6D0DFB9A-860B-451F-8198-B71AE00AEE8C}"/>
    <hyperlink ref="C288:K288" location="'full warmup'!B125:H125" tooltip="back to name list: #07" display="'full warmup'!B125:H125" xr:uid="{0B423845-A95C-42B8-A22E-646C44BD3DDD}"/>
    <hyperlink ref="C264:K264" location="'full warmup'!B124:H124" tooltip="back to name list: #06" display="'full warmup'!B124:H124" xr:uid="{1AEAF2A0-D2A2-4595-A6F8-68DF489907FF}"/>
    <hyperlink ref="C240:K240" location="'full warmup'!B123:H123" tooltip="back to name list: #05" display="'full warmup'!B123:H123" xr:uid="{78D10D23-7E00-4D4D-8247-66F9550984C2}"/>
    <hyperlink ref="C216:K216" location="'full warmup'!B122:H122" tooltip="back to name list: #04" display="'full warmup'!B122:H122" xr:uid="{9CC22047-53E4-48E6-90C6-F1D204F233F6}"/>
    <hyperlink ref="C192:K192" location="'full warmup'!B121:H121" tooltip="back to name list: #03" display="'full warmup'!B121:H121" xr:uid="{63C9FCAB-01F2-42B7-A657-B7DE618D04AA}"/>
    <hyperlink ref="C168:K168" location="'full warmup'!B120:H120" tooltip="back to name list: #02" display="'full warmup'!B120:H120" xr:uid="{A4E8ED0A-9062-47D1-847F-D2F618B45932}"/>
    <hyperlink ref="D706:L706" r:id="rId5" tooltip="Click to go online to our Answers &amp; Questions forum. Engage each other and learn from each other on how to best utilize this tool. You can also report any problems you encounter with it. Let's learn from each other." display="ENGAGEMENT FORUM: Answers &amp; Questions" xr:uid="{79994BAB-D08C-499C-84E0-F7DE1C4195D1}"/>
    <hyperlink ref="B690:H690" location="'supplement warmup'!A1:N7" tooltip="to top" display="Message templates" xr:uid="{3F59A916-35E4-4ADC-A82A-81424B18B635}"/>
    <hyperlink ref="B626" location="'full warmup'!B119:M119" tooltip="back to invitee list" display="'full warmup'!B119:M119" xr:uid="{315B585A-9FE1-49BB-B7E9-2FA3DB168EA2}"/>
    <hyperlink ref="B628" location="'full warmup'!B120:M120" tooltip="back to invitee list" display="'full warmup'!B120:M120" xr:uid="{2097299F-918A-4D2A-9C95-BDF71F1A5E72}"/>
    <hyperlink ref="H167:M167" location="'full warmup'!B626:M627" tooltip="to progress level for Invitee 01" display="'full warmup'!B626:M627" xr:uid="{D75761D2-F361-4CF1-A3B9-4D11761B120C}"/>
    <hyperlink ref="B630" location="'full warmup'!B121:M121" tooltip="back to invitee list" display="'full warmup'!B121:M121" xr:uid="{5021FE50-AD5A-445A-AD10-FDBB1C883A47}"/>
    <hyperlink ref="B632" location="'full warmup'!B122:M122" tooltip="back to invitee list" display="'full warmup'!B122:M122" xr:uid="{D5A48A4B-72E2-4FB2-A417-3E00A54329C9}"/>
    <hyperlink ref="B634" location="'full warmup'!B123:M123" tooltip="back to invitee list" display="'full warmup'!B123:M123" xr:uid="{8C47D3CC-1C4D-47DB-BC78-9C7AD5EF29F5}"/>
    <hyperlink ref="B636" location="'full warmup'!B124:M124" tooltip="back to invitee list" display="'full warmup'!B124:M124" xr:uid="{23E36F02-A99F-48B1-A929-59D6285DE261}"/>
    <hyperlink ref="B638" location="'full warmup'!B125:M125" tooltip="back to invitee list" display="'full warmup'!B125:M125" xr:uid="{5E14AACE-54AD-43B0-A33B-9675F46A30F0}"/>
    <hyperlink ref="B640" location="'full warmup'!B126:M126" tooltip="back to invitee list" display="'full warmup'!B126:M126" xr:uid="{3FE76E9F-2D66-49BF-BBDA-E53761D6C1EC}"/>
    <hyperlink ref="B644" location="'full warmup'!B128:M128" tooltip="back to invitee list" display="'full warmup'!B128:M128" xr:uid="{0191698D-185C-4382-8B55-7215DD991AA3}"/>
    <hyperlink ref="B649" location="'full warmup'!B129:N129" tooltip="back to invitee list" display="'full warmup'!B129:N129" xr:uid="{D8486EDB-E17C-431C-92D3-420C3842664A}"/>
    <hyperlink ref="B651" location="'full warmup'!B130:M130" tooltip="back to invitee list" display="'full warmup'!B130:M130" xr:uid="{F01F1846-4705-45C4-BEA6-BFF758B57A05}"/>
    <hyperlink ref="B653" location="'full warmup'!B131:M131" tooltip="back to invitee list" display="'full warmup'!B131:M131" xr:uid="{360A5D1C-0EDD-4B7B-BB03-C383E07FBBE6}"/>
    <hyperlink ref="B655" location="'full warmup'!B132:M132" tooltip="back to invitee list" display="'full warmup'!B132:M132" xr:uid="{BB50A1EC-6424-4950-A994-68AC499A327C}"/>
    <hyperlink ref="B657" location="'full warmup'!B133:M133" tooltip="back to invitee list" display="'full warmup'!B133:M133" xr:uid="{ED2DF39A-7F33-48DE-9BAA-61A80F3A0127}"/>
    <hyperlink ref="B659" location="'full warmup'!B134:M134" tooltip="back to invitee list" display="'full warmup'!B134:M134" xr:uid="{95DA3A3E-D537-4843-B798-E8A2141388A3}"/>
    <hyperlink ref="B661" location="'full warmup'!B135:M135" tooltip="back to invitee list" display="'full warmup'!B135:M135" xr:uid="{9C8A93BB-060F-4E4E-9E0B-8DEE76B7B9AD}"/>
    <hyperlink ref="B663" location="'full warmup'!B136:M136" tooltip="back to invitee list" display="'full warmup'!B136:M136" xr:uid="{AE69C364-DC63-45A4-AF53-69DF47824F03}"/>
    <hyperlink ref="B665" location="'full warmup'!B137:M137" tooltip="back to invitee list" display="'full warmup'!B137:M137" xr:uid="{5FFEB154-A4E5-4AB3-BEB9-EF7ECC20D338}"/>
    <hyperlink ref="B667" location="'full warmup'!B138:M138" tooltip="back to invitee list" display="'full warmup'!B138:M138" xr:uid="{5D992C40-F752-448E-86C4-1D97CC5B2BDB}"/>
    <hyperlink ref="B642" location="'full warmup'!B127:M127" tooltip="back to invitee list" display="'full warmup'!B127:M127" xr:uid="{64D99121-8051-45FD-BC88-3E9C3AF8AC01}"/>
    <hyperlink ref="H191:M191" location="'full warmup'!B628:M629" tooltip="to progress level for Invitee 02" display="'full warmup'!B628:M629" xr:uid="{C28A8438-738D-4747-8B05-CD38A801A26E}"/>
    <hyperlink ref="H215:M215" location="'full warmup'!B630:M631" tooltip="to progress level for Invitee 03" display="'full warmup'!B630:M631" xr:uid="{A74BFB65-C21B-4B59-B393-B2A7E8EFBB39}"/>
    <hyperlink ref="H239:M239" location="'full warmup'!B632:M633" tooltip="to progress level for Invitee 04" display="'full warmup'!B632:M633" xr:uid="{09314ED8-FE68-4F46-95A5-C6D2F37E1B5D}"/>
    <hyperlink ref="H263:M263" location="'full warmup'!B634:M635" tooltip="to progress level for Invitee 05" display="'full warmup'!B634:M635" xr:uid="{A3977551-1AF1-4A7D-A315-6CE312230A73}"/>
    <hyperlink ref="H287:M287" location="'full warmup'!B636:M637" tooltip="to progress level for Invitee 06" display="'full warmup'!B636:M637" xr:uid="{7424CAA4-EF54-4F4D-A1DC-ABC7AC4F6205}"/>
    <hyperlink ref="H311:M311" location="'full warmup'!B638:M639" tooltip="to progress level for Invitee 07" display="'full warmup'!B638:M639" xr:uid="{2F63C5F7-A92D-4341-A21C-7015920DBF6C}"/>
    <hyperlink ref="H359:M359" location="'full warmup'!B642:M643" tooltip="to progress level for Invitee 09" display="'full warmup'!B642:M643" xr:uid="{7F06FF44-6716-49CD-8D2D-57B4EFB97C3B}"/>
    <hyperlink ref="H407:M407" location="'full warmup'!B649:M650" tooltip="to progress level for Invitee 11" display="'full warmup'!B649:M650" xr:uid="{CE42483B-FEB5-47D0-9C70-94C19ED907EE}"/>
    <hyperlink ref="H383:M383" location="'full warmup'!B644:M645" tooltip="to progress level for Invitee 10" display="'full warmup'!B644:M645" xr:uid="{95768C98-9C57-4B07-BDA3-9710A842AF65}"/>
    <hyperlink ref="H431:M431" location="'full warmup'!B651:M652" tooltip="to progress level for Invitee 12" display="'full warmup'!B651:M652" xr:uid="{01C2A1CB-315F-47B7-A4BC-4226BF4FDF80}"/>
    <hyperlink ref="H455:M455" location="'full warmup'!B653:M654" tooltip="to progress level for Invitee 13" display="'full warmup'!B653:M654" xr:uid="{89558D46-E687-4E6A-8736-996121719F3E}"/>
    <hyperlink ref="H479:M479" location="'full warmup'!B655:M656" tooltip="to progress level for Invitee 14" display="'full warmup'!B655:M656" xr:uid="{46982781-03F3-4643-BF1D-EA3A383FF1FE}"/>
    <hyperlink ref="H527:M527" location="'full warmup'!B659:M660" tooltip="to progress level for Invitee 16" display="'full warmup'!B659:M660" xr:uid="{A664062C-64A5-43AB-B468-A00AC6D79994}"/>
    <hyperlink ref="H503:M503" location="'full warmup'!B657:M658" tooltip="to progress level for Invitee 15" display="'full warmup'!B657:M658" xr:uid="{EA09134A-0B29-4219-9992-7B8DC23C140F}"/>
    <hyperlink ref="H575:M575" location="'full warmup'!B663:M664" tooltip="to progress level for Invitee 18" display="'full warmup'!B663:M664" xr:uid="{3A937A15-FADD-4CBB-AFA5-F661429CDF5B}"/>
    <hyperlink ref="H551:M551" location="'full warmup'!B661:M662" tooltip="to progress level for Invitee 17" display="'full warmup'!B661:M662" xr:uid="{86092609-15E9-4E5D-A361-64E263311EDC}"/>
    <hyperlink ref="H599:M599" location="'full warmup'!B665:M666" tooltip="to progress level for Invitee 19" display="'full warmup'!B665:M666" xr:uid="{88FA1F6F-A931-488E-8674-174FA31F8F09}"/>
    <hyperlink ref="H623:M623" location="'full warmup'!B667:M668" tooltip="to progress level for Invitee 20" display="'full warmup'!B667:M668" xr:uid="{494EF4DA-E424-4067-AB16-EDF3666E5CA6}"/>
    <hyperlink ref="H335:M335" location="'full warmup'!B640:M641" tooltip="to progress level for Invitee 08" display="'full warmup'!B640:M641" xr:uid="{717E152B-8686-45DC-811F-2DDF259DDA0D}"/>
  </hyperlinks>
  <printOptions horizontalCentered="1"/>
  <pageMargins left="0.5" right="0.5" top="0.75" bottom="0.75" header="0.3" footer="0.3"/>
  <pageSetup orientation="portrait" r:id="rId6"/>
  <headerFooter differentFirst="1">
    <oddHeader>&amp;C&amp;"Arial Black,Regular"&amp;14&amp;K009641Anankelogy&amp;K004623 &amp;K7030A0Foundation</oddHeader>
    <oddFooter>&amp;L&amp;D&amp;CPage &amp;P&amp;R&amp;F</oddFooter>
  </headerFooter>
  <ignoredErrors>
    <ignoredError sqref="B684" formula="1"/>
  </ignoredErrors>
  <drawing r:id="rId7"/>
  <legacyDrawing r:id="rId8"/>
  <extLst>
    <ext xmlns:x14="http://schemas.microsoft.com/office/spreadsheetml/2009/9/main" uri="{78C0D931-6437-407d-A8EE-F0AAD7539E65}">
      <x14:conditionalFormattings>
        <x14:conditionalFormatting xmlns:xm="http://schemas.microsoft.com/office/excel/2006/main">
          <x14:cfRule type="containsText" priority="75" operator="containsText" id="{DA140A59-AA39-428E-97C1-B0A1D32939B8}">
            <xm:f>NOT(ISERROR(SEARCH($DB$1035,B627)))</xm:f>
            <xm:f>$DB$1035</xm:f>
            <x14:dxf>
              <font>
                <b val="0"/>
                <i val="0"/>
                <color rgb="FF004221"/>
              </font>
            </x14:dxf>
          </x14:cfRule>
          <xm:sqref>B627:M627</xm:sqref>
        </x14:conditionalFormatting>
        <x14:conditionalFormatting xmlns:xm="http://schemas.microsoft.com/office/excel/2006/main">
          <x14:cfRule type="containsText" priority="376" operator="containsText" id="{9314A9DC-AD3E-4B83-A2C9-09EC3EB024C9}">
            <xm:f>NOT(ISERROR(SEARCH($G$1069,B677)))</xm:f>
            <xm:f>$G$1069</xm:f>
            <x14:dxf>
              <font>
                <b val="0"/>
                <i/>
                <color rgb="FFC00000"/>
              </font>
            </x14:dxf>
          </x14:cfRule>
          <xm:sqref>B677:M677</xm:sqref>
        </x14:conditionalFormatting>
        <x14:conditionalFormatting xmlns:xm="http://schemas.microsoft.com/office/excel/2006/main">
          <x14:cfRule type="containsText" priority="685" operator="containsText" id="{0613129C-18CB-4B9D-B8C3-AF3AF590CD14}">
            <xm:f>NOT(ISERROR(SEARCH($E$140,F164)))</xm:f>
            <xm:f>$E$140</xm:f>
            <x14:dxf>
              <fill>
                <patternFill>
                  <bgColor rgb="FFB4FFD7"/>
                </patternFill>
              </fill>
            </x14:dxf>
          </x14:cfRule>
          <xm:sqref>F164:M164</xm:sqref>
        </x14:conditionalFormatting>
        <x14:conditionalFormatting xmlns:xm="http://schemas.microsoft.com/office/excel/2006/main">
          <x14:cfRule type="containsText" priority="684" operator="containsText" id="{E968DF3D-B7F2-4FA1-9215-B406C0A5641B}">
            <xm:f>NOT(ISERROR(SEARCH($E$140,F188)))</xm:f>
            <xm:f>$E$140</xm:f>
            <x14:dxf>
              <fill>
                <patternFill>
                  <bgColor rgb="FFB4FFD7"/>
                </patternFill>
              </fill>
            </x14:dxf>
          </x14:cfRule>
          <xm:sqref>F188:M188</xm:sqref>
        </x14:conditionalFormatting>
        <x14:conditionalFormatting xmlns:xm="http://schemas.microsoft.com/office/excel/2006/main">
          <x14:cfRule type="containsText" priority="683" operator="containsText" id="{9E7BE644-7C06-4916-A052-43B88BD346AE}">
            <xm:f>NOT(ISERROR(SEARCH($E$140,F212)))</xm:f>
            <xm:f>$E$140</xm:f>
            <x14:dxf>
              <fill>
                <patternFill>
                  <bgColor rgb="FFB4FFD7"/>
                </patternFill>
              </fill>
            </x14:dxf>
          </x14:cfRule>
          <xm:sqref>F212:M212</xm:sqref>
        </x14:conditionalFormatting>
        <x14:conditionalFormatting xmlns:xm="http://schemas.microsoft.com/office/excel/2006/main">
          <x14:cfRule type="containsText" priority="682" operator="containsText" id="{D486B19D-B399-4D07-BF20-57970E5D27AC}">
            <xm:f>NOT(ISERROR(SEARCH($E$140,F236)))</xm:f>
            <xm:f>$E$140</xm:f>
            <x14:dxf>
              <fill>
                <patternFill>
                  <bgColor rgb="FFB4FFD7"/>
                </patternFill>
              </fill>
            </x14:dxf>
          </x14:cfRule>
          <xm:sqref>F236:M236</xm:sqref>
        </x14:conditionalFormatting>
        <x14:conditionalFormatting xmlns:xm="http://schemas.microsoft.com/office/excel/2006/main">
          <x14:cfRule type="containsText" priority="681" operator="containsText" id="{A3CDACAB-E7FF-43C3-A2EA-D6F724F850ED}">
            <xm:f>NOT(ISERROR(SEARCH($E$140,F260)))</xm:f>
            <xm:f>$E$140</xm:f>
            <x14:dxf>
              <fill>
                <patternFill>
                  <bgColor rgb="FFB4FFD7"/>
                </patternFill>
              </fill>
            </x14:dxf>
          </x14:cfRule>
          <xm:sqref>F260:M260</xm:sqref>
        </x14:conditionalFormatting>
        <x14:conditionalFormatting xmlns:xm="http://schemas.microsoft.com/office/excel/2006/main">
          <x14:cfRule type="containsText" priority="680" operator="containsText" id="{E099C1C2-F35E-4F08-92BC-7FF20603CDDD}">
            <xm:f>NOT(ISERROR(SEARCH($E$140,F284)))</xm:f>
            <xm:f>$E$140</xm:f>
            <x14:dxf>
              <fill>
                <patternFill>
                  <bgColor rgb="FFB4FFD7"/>
                </patternFill>
              </fill>
            </x14:dxf>
          </x14:cfRule>
          <xm:sqref>F284:M284</xm:sqref>
        </x14:conditionalFormatting>
        <x14:conditionalFormatting xmlns:xm="http://schemas.microsoft.com/office/excel/2006/main">
          <x14:cfRule type="containsText" priority="679" operator="containsText" id="{BC1D22A2-F181-4BF7-9B35-5A875B313C79}">
            <xm:f>NOT(ISERROR(SEARCH($E$140,F308)))</xm:f>
            <xm:f>$E$140</xm:f>
            <x14:dxf>
              <fill>
                <patternFill>
                  <bgColor rgb="FFB4FFD7"/>
                </patternFill>
              </fill>
            </x14:dxf>
          </x14:cfRule>
          <xm:sqref>F308:M308</xm:sqref>
        </x14:conditionalFormatting>
        <x14:conditionalFormatting xmlns:xm="http://schemas.microsoft.com/office/excel/2006/main">
          <x14:cfRule type="containsText" priority="678" operator="containsText" id="{0AA99F75-21CD-4E77-80A9-B6781E20A318}">
            <xm:f>NOT(ISERROR(SEARCH($E$140,F332)))</xm:f>
            <xm:f>$E$140</xm:f>
            <x14:dxf>
              <fill>
                <patternFill>
                  <bgColor rgb="FFB4FFD7"/>
                </patternFill>
              </fill>
            </x14:dxf>
          </x14:cfRule>
          <xm:sqref>F332:M332</xm:sqref>
        </x14:conditionalFormatting>
        <x14:conditionalFormatting xmlns:xm="http://schemas.microsoft.com/office/excel/2006/main">
          <x14:cfRule type="containsText" priority="677" operator="containsText" id="{2BAF4885-BD4D-4895-A8D3-2E2B2A8E6428}">
            <xm:f>NOT(ISERROR(SEARCH($E$140,F356)))</xm:f>
            <xm:f>$E$140</xm:f>
            <x14:dxf>
              <fill>
                <patternFill>
                  <bgColor rgb="FFB4FFD7"/>
                </patternFill>
              </fill>
            </x14:dxf>
          </x14:cfRule>
          <xm:sqref>F356:M356</xm:sqref>
        </x14:conditionalFormatting>
        <x14:conditionalFormatting xmlns:xm="http://schemas.microsoft.com/office/excel/2006/main">
          <x14:cfRule type="containsText" priority="676" operator="containsText" id="{3416C278-B227-4107-A85F-A3A55A7B5F1E}">
            <xm:f>NOT(ISERROR(SEARCH($E$140,F380)))</xm:f>
            <xm:f>$E$140</xm:f>
            <x14:dxf>
              <fill>
                <patternFill>
                  <bgColor rgb="FFB4FFD7"/>
                </patternFill>
              </fill>
            </x14:dxf>
          </x14:cfRule>
          <xm:sqref>F380:M380</xm:sqref>
        </x14:conditionalFormatting>
        <x14:conditionalFormatting xmlns:xm="http://schemas.microsoft.com/office/excel/2006/main">
          <x14:cfRule type="containsText" priority="675" operator="containsText" id="{DE311CA0-CD4C-49D0-8ED9-EE7DB950D1BD}">
            <xm:f>NOT(ISERROR(SEARCH($E$140,F404)))</xm:f>
            <xm:f>$E$140</xm:f>
            <x14:dxf>
              <fill>
                <patternFill>
                  <bgColor rgb="FFB4FFD7"/>
                </patternFill>
              </fill>
            </x14:dxf>
          </x14:cfRule>
          <xm:sqref>F404:M404</xm:sqref>
        </x14:conditionalFormatting>
        <x14:conditionalFormatting xmlns:xm="http://schemas.microsoft.com/office/excel/2006/main">
          <x14:cfRule type="containsText" priority="674" operator="containsText" id="{F8E91526-AE16-43DB-8CB6-C710BF06CDAA}">
            <xm:f>NOT(ISERROR(SEARCH($E$140,F428)))</xm:f>
            <xm:f>$E$140</xm:f>
            <x14:dxf>
              <fill>
                <patternFill>
                  <bgColor rgb="FFB4FFD7"/>
                </patternFill>
              </fill>
            </x14:dxf>
          </x14:cfRule>
          <xm:sqref>F428:M428</xm:sqref>
        </x14:conditionalFormatting>
        <x14:conditionalFormatting xmlns:xm="http://schemas.microsoft.com/office/excel/2006/main">
          <x14:cfRule type="containsText" priority="673" operator="containsText" id="{6949A1A8-9F6B-487D-8478-A22F920CB945}">
            <xm:f>NOT(ISERROR(SEARCH($E$140,F452)))</xm:f>
            <xm:f>$E$140</xm:f>
            <x14:dxf>
              <fill>
                <patternFill>
                  <bgColor rgb="FFB4FFD7"/>
                </patternFill>
              </fill>
            </x14:dxf>
          </x14:cfRule>
          <xm:sqref>F452:M452</xm:sqref>
        </x14:conditionalFormatting>
        <x14:conditionalFormatting xmlns:xm="http://schemas.microsoft.com/office/excel/2006/main">
          <x14:cfRule type="containsText" priority="672" operator="containsText" id="{DB50FF57-7554-4FD9-A910-73CF3DD4CFA4}">
            <xm:f>NOT(ISERROR(SEARCH($E$140,F476)))</xm:f>
            <xm:f>$E$140</xm:f>
            <x14:dxf>
              <fill>
                <patternFill>
                  <bgColor rgb="FFB4FFD7"/>
                </patternFill>
              </fill>
            </x14:dxf>
          </x14:cfRule>
          <xm:sqref>F476:M476</xm:sqref>
        </x14:conditionalFormatting>
        <x14:conditionalFormatting xmlns:xm="http://schemas.microsoft.com/office/excel/2006/main">
          <x14:cfRule type="containsText" priority="671" operator="containsText" id="{DB3CBA6B-50CB-4861-AAF6-E2AEC5C77DA7}">
            <xm:f>NOT(ISERROR(SEARCH($E$140,F500)))</xm:f>
            <xm:f>$E$140</xm:f>
            <x14:dxf>
              <fill>
                <patternFill>
                  <bgColor rgb="FFB4FFD7"/>
                </patternFill>
              </fill>
            </x14:dxf>
          </x14:cfRule>
          <xm:sqref>F500:M500</xm:sqref>
        </x14:conditionalFormatting>
        <x14:conditionalFormatting xmlns:xm="http://schemas.microsoft.com/office/excel/2006/main">
          <x14:cfRule type="containsText" priority="670" operator="containsText" id="{D74B6E7C-3F55-4D53-90E0-E2BB4859F4BD}">
            <xm:f>NOT(ISERROR(SEARCH($E$140,F524)))</xm:f>
            <xm:f>$E$140</xm:f>
            <x14:dxf>
              <fill>
                <patternFill>
                  <bgColor rgb="FFB4FFD7"/>
                </patternFill>
              </fill>
            </x14:dxf>
          </x14:cfRule>
          <xm:sqref>F524:M524</xm:sqref>
        </x14:conditionalFormatting>
        <x14:conditionalFormatting xmlns:xm="http://schemas.microsoft.com/office/excel/2006/main">
          <x14:cfRule type="containsText" priority="669" operator="containsText" id="{3AB7308C-511A-4C7D-B958-DFC85DF6EB35}">
            <xm:f>NOT(ISERROR(SEARCH($E$140,F548)))</xm:f>
            <xm:f>$E$140</xm:f>
            <x14:dxf>
              <fill>
                <patternFill>
                  <bgColor rgb="FFB4FFD7"/>
                </patternFill>
              </fill>
            </x14:dxf>
          </x14:cfRule>
          <xm:sqref>F548:M548</xm:sqref>
        </x14:conditionalFormatting>
        <x14:conditionalFormatting xmlns:xm="http://schemas.microsoft.com/office/excel/2006/main">
          <x14:cfRule type="containsText" priority="668" operator="containsText" id="{8C9AA538-7F8C-4333-9E30-7AACB73D08C2}">
            <xm:f>NOT(ISERROR(SEARCH($E$140,F572)))</xm:f>
            <xm:f>$E$140</xm:f>
            <x14:dxf>
              <fill>
                <patternFill>
                  <bgColor rgb="FFB4FFD7"/>
                </patternFill>
              </fill>
            </x14:dxf>
          </x14:cfRule>
          <xm:sqref>F572:M572</xm:sqref>
        </x14:conditionalFormatting>
        <x14:conditionalFormatting xmlns:xm="http://schemas.microsoft.com/office/excel/2006/main">
          <x14:cfRule type="containsText" priority="667" operator="containsText" id="{058A3FA5-59B7-4462-AFF6-F554DDB8B35D}">
            <xm:f>NOT(ISERROR(SEARCH($E$140,F596)))</xm:f>
            <xm:f>$E$140</xm:f>
            <x14:dxf>
              <fill>
                <patternFill>
                  <bgColor rgb="FFB4FFD7"/>
                </patternFill>
              </fill>
            </x14:dxf>
          </x14:cfRule>
          <xm:sqref>F596:M596</xm:sqref>
        </x14:conditionalFormatting>
        <x14:conditionalFormatting xmlns:xm="http://schemas.microsoft.com/office/excel/2006/main">
          <x14:cfRule type="containsText" priority="666" operator="containsText" id="{43A45E70-34EE-4B87-873F-581D04F990B1}">
            <xm:f>NOT(ISERROR(SEARCH($E$140,F620)))</xm:f>
            <xm:f>$E$140</xm:f>
            <x14:dxf>
              <fill>
                <patternFill>
                  <bgColor rgb="FFB4FFD7"/>
                </patternFill>
              </fill>
            </x14:dxf>
          </x14:cfRule>
          <xm:sqref>F620:M620</xm:sqref>
        </x14:conditionalFormatting>
        <x14:conditionalFormatting xmlns:xm="http://schemas.microsoft.com/office/excel/2006/main">
          <x14:cfRule type="containsText" priority="745" operator="containsText" id="{B065CC31-7141-4066-94BB-114BA91CB21C}">
            <xm:f>NOT(ISERROR(SEARCH($I$1072,I679)))</xm:f>
            <xm:f>$I$1072</xm:f>
            <x14:dxf>
              <font>
                <color rgb="FFB4FFD7"/>
              </font>
              <fill>
                <gradientFill>
                  <stop position="0">
                    <color rgb="FF006432"/>
                  </stop>
                  <stop position="0.5">
                    <color rgb="FF00B050"/>
                  </stop>
                  <stop position="1">
                    <color rgb="FF006432"/>
                  </stop>
                </gradientFill>
              </fill>
            </x14:dxf>
          </x14:cfRule>
          <xm:sqref>I679:M679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A99B-C086-4CFD-BB47-EB921E750936}">
  <dimension ref="A1:P700"/>
  <sheetViews>
    <sheetView zoomScaleNormal="100" zoomScaleSheetLayoutView="100" workbookViewId="0">
      <selection activeCell="N3" sqref="A1:N3"/>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14" ht="10" customHeight="1" thickBot="1" x14ac:dyDescent="0.35">
      <c r="A1" s="96"/>
      <c r="B1" s="99"/>
      <c r="C1" s="97"/>
      <c r="D1" s="97"/>
      <c r="E1" s="97"/>
      <c r="F1" s="97"/>
      <c r="G1" s="97"/>
      <c r="H1" s="97"/>
      <c r="I1" s="97"/>
      <c r="J1" s="97"/>
      <c r="K1" s="97"/>
      <c r="L1" s="97"/>
      <c r="M1" s="97"/>
      <c r="N1" s="98"/>
    </row>
    <row r="2" spans="1:14" ht="45" customHeight="1" thickTop="1" thickBot="1" x14ac:dyDescent="0.35">
      <c r="A2" s="47"/>
      <c r="B2" s="282" t="s">
        <v>240</v>
      </c>
      <c r="C2" s="283"/>
      <c r="D2" s="283"/>
      <c r="E2" s="283"/>
      <c r="F2" s="283"/>
      <c r="G2" s="283"/>
      <c r="H2" s="283"/>
      <c r="I2" s="283"/>
      <c r="J2" s="283"/>
      <c r="K2" s="283"/>
      <c r="L2" s="283"/>
      <c r="M2" s="284"/>
      <c r="N2" s="48"/>
    </row>
    <row r="3" spans="1:14" ht="10" customHeight="1" thickTop="1" x14ac:dyDescent="0.3">
      <c r="A3" s="47"/>
      <c r="B3" s="73"/>
      <c r="C3" s="74"/>
      <c r="D3" s="74"/>
      <c r="E3" s="74"/>
      <c r="F3" s="74"/>
      <c r="G3" s="74"/>
      <c r="H3" s="74"/>
      <c r="I3" s="74"/>
      <c r="J3" s="74"/>
      <c r="K3" s="74"/>
      <c r="L3" s="74"/>
      <c r="M3" s="74"/>
      <c r="N3" s="48"/>
    </row>
    <row r="4" spans="1:14" ht="15" customHeight="1" x14ac:dyDescent="0.3">
      <c r="A4" s="126"/>
      <c r="B4" s="285"/>
      <c r="C4" s="285"/>
      <c r="D4" s="285"/>
      <c r="E4" s="285"/>
      <c r="F4" s="285"/>
      <c r="G4" s="285"/>
      <c r="H4" s="285"/>
      <c r="I4" s="285"/>
      <c r="J4" s="285"/>
      <c r="K4" s="285"/>
      <c r="L4" s="285"/>
      <c r="M4" s="285"/>
      <c r="N4" s="127"/>
    </row>
    <row r="5" spans="1:14" ht="15" customHeight="1" x14ac:dyDescent="0.3">
      <c r="A5" s="21"/>
      <c r="B5" s="88"/>
      <c r="C5" s="88"/>
      <c r="D5" s="88"/>
      <c r="E5" s="88"/>
      <c r="F5" s="88"/>
      <c r="G5" s="88"/>
      <c r="H5" s="88"/>
      <c r="I5" s="88"/>
      <c r="J5" s="88"/>
      <c r="K5" s="88"/>
      <c r="L5" s="88"/>
      <c r="M5" s="88"/>
      <c r="N5" s="20"/>
    </row>
    <row r="6" spans="1:14" ht="5" customHeight="1" x14ac:dyDescent="0.3">
      <c r="A6" s="21"/>
      <c r="B6" s="88"/>
      <c r="C6" s="88"/>
      <c r="D6" s="88"/>
      <c r="E6" s="88"/>
      <c r="F6" s="88"/>
      <c r="G6" s="88"/>
      <c r="H6" s="88"/>
      <c r="I6" s="88"/>
      <c r="J6" s="88"/>
      <c r="K6" s="88"/>
      <c r="L6" s="88"/>
      <c r="M6" s="88"/>
      <c r="N6" s="20"/>
    </row>
    <row r="7" spans="1:14" ht="20" customHeight="1" x14ac:dyDescent="0.3">
      <c r="A7" s="21"/>
      <c r="B7" s="88"/>
      <c r="C7" s="128" t="s">
        <v>223</v>
      </c>
      <c r="D7" s="286" t="str">
        <f>IF(C601=0,"",C601)</f>
        <v/>
      </c>
      <c r="E7" s="286"/>
      <c r="F7" s="286"/>
      <c r="G7" s="286"/>
      <c r="H7" s="286"/>
      <c r="I7" s="286"/>
      <c r="J7" s="286"/>
      <c r="K7" s="286"/>
      <c r="L7" s="286"/>
      <c r="M7" s="286"/>
      <c r="N7" s="20"/>
    </row>
    <row r="8" spans="1:14" ht="5" customHeight="1" x14ac:dyDescent="0.3">
      <c r="A8" s="21"/>
      <c r="B8" s="88"/>
      <c r="C8" s="129"/>
      <c r="D8" s="288"/>
      <c r="E8" s="288"/>
      <c r="F8" s="288"/>
      <c r="G8" s="288"/>
      <c r="H8" s="288"/>
      <c r="I8" s="288"/>
      <c r="J8" s="288"/>
      <c r="K8" s="288"/>
      <c r="L8" s="288"/>
      <c r="M8" s="288"/>
      <c r="N8" s="20"/>
    </row>
    <row r="9" spans="1:14" ht="20" customHeight="1" x14ac:dyDescent="0.3">
      <c r="A9" s="21"/>
      <c r="B9" s="88"/>
      <c r="C9" s="128" t="s">
        <v>224</v>
      </c>
      <c r="D9" s="286"/>
      <c r="E9" s="286"/>
      <c r="F9" s="286"/>
      <c r="G9" s="286"/>
      <c r="H9" s="286"/>
      <c r="I9" s="286"/>
      <c r="J9" s="286"/>
      <c r="K9" s="286"/>
      <c r="L9" s="286"/>
      <c r="M9" s="286"/>
      <c r="N9" s="20"/>
    </row>
    <row r="10" spans="1:14" ht="5" customHeight="1" x14ac:dyDescent="0.3">
      <c r="A10" s="21"/>
      <c r="B10" s="88"/>
      <c r="C10" s="129"/>
      <c r="D10" s="288"/>
      <c r="E10" s="288"/>
      <c r="F10" s="288"/>
      <c r="G10" s="288"/>
      <c r="H10" s="288"/>
      <c r="I10" s="288"/>
      <c r="J10" s="288"/>
      <c r="K10" s="288"/>
      <c r="L10" s="288"/>
      <c r="M10" s="288"/>
      <c r="N10" s="20"/>
    </row>
    <row r="11" spans="1:14" ht="20" customHeight="1" x14ac:dyDescent="0.3">
      <c r="A11" s="21"/>
      <c r="B11" s="88"/>
      <c r="C11" s="128" t="s">
        <v>225</v>
      </c>
      <c r="D11" s="286" t="s">
        <v>272</v>
      </c>
      <c r="E11" s="286"/>
      <c r="F11" s="286"/>
      <c r="G11" s="286"/>
      <c r="H11" s="286"/>
      <c r="I11" s="286"/>
      <c r="J11" s="286"/>
      <c r="K11" s="286"/>
      <c r="L11" s="286"/>
      <c r="M11" s="286"/>
      <c r="N11" s="20"/>
    </row>
    <row r="12" spans="1:14" ht="5" customHeight="1" x14ac:dyDescent="0.3">
      <c r="A12" s="21"/>
      <c r="B12" s="88"/>
      <c r="C12" s="129"/>
      <c r="D12" s="288"/>
      <c r="E12" s="288"/>
      <c r="F12" s="288"/>
      <c r="G12" s="288"/>
      <c r="H12" s="288"/>
      <c r="I12" s="288"/>
      <c r="J12" s="288"/>
      <c r="K12" s="288"/>
      <c r="L12" s="288"/>
      <c r="M12" s="288"/>
      <c r="N12" s="20"/>
    </row>
    <row r="13" spans="1:14" ht="20" customHeight="1" x14ac:dyDescent="0.3">
      <c r="A13" s="21"/>
      <c r="B13" s="88"/>
      <c r="C13" s="128" t="s">
        <v>222</v>
      </c>
      <c r="D13" s="287">
        <f ca="1">TODAY()</f>
        <v>45274</v>
      </c>
      <c r="E13" s="287"/>
      <c r="F13" s="287"/>
      <c r="G13" s="287"/>
      <c r="H13" s="287"/>
      <c r="I13" s="287"/>
      <c r="J13" s="287"/>
      <c r="K13" s="287"/>
      <c r="L13" s="287"/>
      <c r="M13" s="287"/>
      <c r="N13" s="20"/>
    </row>
    <row r="14" spans="1:14" ht="5" customHeight="1" x14ac:dyDescent="0.3">
      <c r="A14" s="21"/>
      <c r="B14" s="88"/>
      <c r="C14" s="88"/>
      <c r="D14" s="289"/>
      <c r="E14" s="289"/>
      <c r="F14" s="289"/>
      <c r="G14" s="289"/>
      <c r="H14" s="289"/>
      <c r="I14" s="289"/>
      <c r="J14" s="289"/>
      <c r="K14" s="289"/>
      <c r="L14" s="289"/>
      <c r="M14" s="289"/>
      <c r="N14" s="20"/>
    </row>
    <row r="15" spans="1:14" ht="20" customHeight="1" x14ac:dyDescent="0.3">
      <c r="A15" s="21"/>
      <c r="B15" s="88"/>
      <c r="C15" s="88"/>
      <c r="D15" s="88"/>
      <c r="E15" s="88"/>
      <c r="F15" s="88"/>
      <c r="G15" s="88"/>
      <c r="H15" s="88"/>
      <c r="I15" s="88"/>
      <c r="J15" s="88"/>
      <c r="K15" s="88"/>
      <c r="L15" s="88"/>
      <c r="M15" s="88"/>
      <c r="N15" s="20"/>
    </row>
    <row r="16" spans="1:14" ht="30" customHeight="1" x14ac:dyDescent="0.3">
      <c r="A16" s="21"/>
      <c r="B16" s="281" t="str">
        <f>IF($D$9="","",C624)</f>
        <v/>
      </c>
      <c r="C16" s="281"/>
      <c r="D16" s="281"/>
      <c r="E16" s="281"/>
      <c r="F16" s="281"/>
      <c r="G16" s="281"/>
      <c r="H16" s="281"/>
      <c r="I16" s="281"/>
      <c r="J16" s="281"/>
      <c r="K16" s="281"/>
      <c r="L16" s="281"/>
      <c r="M16" s="281"/>
      <c r="N16" s="20"/>
    </row>
    <row r="17" spans="1:14" ht="30" customHeight="1" x14ac:dyDescent="0.3">
      <c r="A17" s="21"/>
      <c r="B17" s="281" t="str">
        <f>IF($D$9="","",C625)</f>
        <v/>
      </c>
      <c r="C17" s="281"/>
      <c r="D17" s="281"/>
      <c r="E17" s="281"/>
      <c r="F17" s="281"/>
      <c r="G17" s="281"/>
      <c r="H17" s="281"/>
      <c r="I17" s="281"/>
      <c r="J17" s="281"/>
      <c r="K17" s="281"/>
      <c r="L17" s="281"/>
      <c r="M17" s="281"/>
      <c r="N17" s="20"/>
    </row>
    <row r="18" spans="1:14" ht="30" customHeight="1" x14ac:dyDescent="0.3">
      <c r="A18" s="21"/>
      <c r="B18" s="281" t="str">
        <f>IF($D$9="","",C626)</f>
        <v/>
      </c>
      <c r="C18" s="281"/>
      <c r="D18" s="281"/>
      <c r="E18" s="281"/>
      <c r="F18" s="281"/>
      <c r="G18" s="281"/>
      <c r="H18" s="281"/>
      <c r="I18" s="281"/>
      <c r="J18" s="281"/>
      <c r="K18" s="281"/>
      <c r="L18" s="281"/>
      <c r="M18" s="281"/>
      <c r="N18" s="20"/>
    </row>
    <row r="19" spans="1:14" ht="25" customHeight="1" x14ac:dyDescent="0.3">
      <c r="A19" s="21"/>
      <c r="B19" s="94"/>
      <c r="C19" s="138" t="str">
        <f>IF($D$9="","",C627)</f>
        <v/>
      </c>
      <c r="D19" s="94"/>
      <c r="E19" s="94"/>
      <c r="F19" s="94"/>
      <c r="G19" s="94"/>
      <c r="H19" s="94"/>
      <c r="I19" s="94"/>
      <c r="J19" s="94"/>
      <c r="K19" s="94"/>
      <c r="L19" s="94"/>
      <c r="M19" s="94"/>
      <c r="N19" s="20"/>
    </row>
    <row r="20" spans="1:14" ht="25" customHeight="1" x14ac:dyDescent="0.3">
      <c r="A20" s="21"/>
      <c r="B20" s="94"/>
      <c r="C20" s="138" t="str">
        <f t="shared" ref="C20:C24" si="0">IF($D$9="","",C628)</f>
        <v/>
      </c>
      <c r="D20" s="94"/>
      <c r="E20" s="94"/>
      <c r="F20" s="94"/>
      <c r="G20" s="94"/>
      <c r="H20" s="94"/>
      <c r="I20" s="94"/>
      <c r="J20" s="94"/>
      <c r="K20" s="94"/>
      <c r="L20" s="94"/>
      <c r="M20" s="94"/>
      <c r="N20" s="20"/>
    </row>
    <row r="21" spans="1:14" ht="25" customHeight="1" x14ac:dyDescent="0.3">
      <c r="A21" s="21"/>
      <c r="B21" s="94"/>
      <c r="C21" s="138" t="str">
        <f t="shared" si="0"/>
        <v/>
      </c>
      <c r="D21" s="94"/>
      <c r="E21" s="94"/>
      <c r="F21" s="94"/>
      <c r="G21" s="94"/>
      <c r="H21" s="94"/>
      <c r="I21" s="94"/>
      <c r="J21" s="94"/>
      <c r="K21" s="94"/>
      <c r="L21" s="94"/>
      <c r="M21" s="94"/>
      <c r="N21" s="20"/>
    </row>
    <row r="22" spans="1:14" ht="25" customHeight="1" x14ac:dyDescent="0.3">
      <c r="A22" s="21"/>
      <c r="B22" s="94"/>
      <c r="C22" s="138" t="str">
        <f t="shared" si="0"/>
        <v/>
      </c>
      <c r="D22" s="94"/>
      <c r="E22" s="94"/>
      <c r="F22" s="94"/>
      <c r="G22" s="94"/>
      <c r="H22" s="94"/>
      <c r="I22" s="94"/>
      <c r="J22" s="94"/>
      <c r="K22" s="94"/>
      <c r="L22" s="94"/>
      <c r="M22" s="94"/>
      <c r="N22" s="20"/>
    </row>
    <row r="23" spans="1:14" ht="25" customHeight="1" x14ac:dyDescent="0.3">
      <c r="A23" s="21"/>
      <c r="B23" s="94"/>
      <c r="C23" s="138" t="str">
        <f t="shared" si="0"/>
        <v/>
      </c>
      <c r="D23" s="94"/>
      <c r="E23" s="94"/>
      <c r="F23" s="94"/>
      <c r="G23" s="94"/>
      <c r="H23" s="94"/>
      <c r="I23" s="94"/>
      <c r="J23" s="94"/>
      <c r="K23" s="94"/>
      <c r="L23" s="94"/>
      <c r="M23" s="94"/>
      <c r="N23" s="20"/>
    </row>
    <row r="24" spans="1:14" ht="25" customHeight="1" x14ac:dyDescent="0.3">
      <c r="A24" s="21"/>
      <c r="B24" s="94"/>
      <c r="C24" s="138" t="str">
        <f t="shared" si="0"/>
        <v/>
      </c>
      <c r="D24" s="94"/>
      <c r="E24" s="94"/>
      <c r="F24" s="94"/>
      <c r="G24" s="94"/>
      <c r="H24" s="94"/>
      <c r="I24" s="94"/>
      <c r="J24" s="94"/>
      <c r="K24" s="94"/>
      <c r="L24" s="94"/>
      <c r="M24" s="94"/>
      <c r="N24" s="20"/>
    </row>
    <row r="25" spans="1:14" ht="75" customHeight="1" x14ac:dyDescent="0.3">
      <c r="A25" s="21"/>
      <c r="B25" s="281" t="str">
        <f>IF($D$9="","",C633)</f>
        <v/>
      </c>
      <c r="C25" s="281"/>
      <c r="D25" s="281"/>
      <c r="E25" s="281"/>
      <c r="F25" s="281"/>
      <c r="G25" s="281"/>
      <c r="H25" s="281"/>
      <c r="I25" s="281"/>
      <c r="J25" s="281"/>
      <c r="K25" s="281"/>
      <c r="L25" s="281"/>
      <c r="M25" s="281"/>
      <c r="N25" s="20"/>
    </row>
    <row r="26" spans="1:14" ht="60" customHeight="1" x14ac:dyDescent="0.3">
      <c r="A26" s="21"/>
      <c r="B26" s="281" t="str">
        <f t="shared" ref="B26:B28" si="1">IF($D$9="","",C634)</f>
        <v/>
      </c>
      <c r="C26" s="281"/>
      <c r="D26" s="281"/>
      <c r="E26" s="281"/>
      <c r="F26" s="281"/>
      <c r="G26" s="281"/>
      <c r="H26" s="281"/>
      <c r="I26" s="281"/>
      <c r="J26" s="281"/>
      <c r="K26" s="281"/>
      <c r="L26" s="281"/>
      <c r="M26" s="281"/>
      <c r="N26" s="20"/>
    </row>
    <row r="27" spans="1:14" ht="60" customHeight="1" x14ac:dyDescent="0.3">
      <c r="A27" s="21"/>
      <c r="B27" s="281" t="str">
        <f t="shared" si="1"/>
        <v/>
      </c>
      <c r="C27" s="281"/>
      <c r="D27" s="281"/>
      <c r="E27" s="281"/>
      <c r="F27" s="281"/>
      <c r="G27" s="281"/>
      <c r="H27" s="281"/>
      <c r="I27" s="281"/>
      <c r="J27" s="281"/>
      <c r="K27" s="281"/>
      <c r="L27" s="281"/>
      <c r="M27" s="281"/>
      <c r="N27" s="20"/>
    </row>
    <row r="28" spans="1:14" ht="45" customHeight="1" x14ac:dyDescent="0.3">
      <c r="A28" s="21"/>
      <c r="B28" s="281" t="str">
        <f t="shared" si="1"/>
        <v/>
      </c>
      <c r="C28" s="281"/>
      <c r="D28" s="281"/>
      <c r="E28" s="281"/>
      <c r="F28" s="281"/>
      <c r="G28" s="281"/>
      <c r="H28" s="281"/>
      <c r="I28" s="281"/>
      <c r="J28" s="281"/>
      <c r="K28" s="281"/>
      <c r="L28" s="281"/>
      <c r="M28" s="281"/>
      <c r="N28" s="20"/>
    </row>
    <row r="29" spans="1:14" ht="10" customHeight="1" x14ac:dyDescent="0.3">
      <c r="A29" s="21"/>
      <c r="B29" s="131"/>
      <c r="C29" s="39"/>
      <c r="D29" s="39"/>
      <c r="E29" s="39"/>
      <c r="F29" s="39"/>
      <c r="G29" s="39"/>
      <c r="H29" s="39"/>
      <c r="I29" s="39"/>
      <c r="J29" s="39"/>
      <c r="K29" s="39"/>
      <c r="L29" s="39"/>
      <c r="M29" s="39"/>
      <c r="N29" s="20"/>
    </row>
    <row r="30" spans="1:14" ht="25" customHeight="1" x14ac:dyDescent="0.3">
      <c r="A30" s="21"/>
      <c r="B30" s="290" t="str">
        <f>IF(D9="",G640,C640)</f>
        <v>SELECT A RECIPIENT TO CREATE THIS FOLLOW-UP MESSAGE TO THEM</v>
      </c>
      <c r="C30" s="290"/>
      <c r="D30" s="290"/>
      <c r="E30" s="290"/>
      <c r="F30" s="290"/>
      <c r="G30" s="290"/>
      <c r="H30" s="290"/>
      <c r="I30" s="290"/>
      <c r="J30" s="290"/>
      <c r="K30" s="290"/>
      <c r="L30" s="290"/>
      <c r="M30" s="290"/>
      <c r="N30" s="20"/>
    </row>
    <row r="31" spans="1:14" ht="10" customHeight="1" x14ac:dyDescent="0.3">
      <c r="A31" s="19"/>
      <c r="B31" s="130"/>
      <c r="C31" s="130"/>
      <c r="D31" s="130"/>
      <c r="E31" s="130"/>
      <c r="F31" s="130"/>
      <c r="G31" s="130"/>
      <c r="H31" s="130"/>
      <c r="I31" s="130"/>
      <c r="J31" s="130"/>
      <c r="K31" s="130"/>
      <c r="L31" s="130"/>
      <c r="M31" s="130"/>
      <c r="N31" s="16"/>
    </row>
    <row r="336" spans="2:13" s="2" customFormat="1" x14ac:dyDescent="0.3">
      <c r="B336" s="1"/>
      <c r="C336" s="1"/>
      <c r="D336" s="1"/>
      <c r="E336" s="1"/>
      <c r="F336" s="1"/>
      <c r="G336" s="1"/>
      <c r="H336" s="3"/>
      <c r="I336" s="1"/>
      <c r="J336" s="1"/>
      <c r="K336" s="1"/>
      <c r="L336" s="1"/>
      <c r="M336" s="1"/>
    </row>
    <row r="601" spans="2:8" hidden="1" x14ac:dyDescent="0.3">
      <c r="C601" s="4">
        <f>'full warmup'!E5</f>
        <v>0</v>
      </c>
    </row>
    <row r="602" spans="2:8" hidden="1" x14ac:dyDescent="0.3">
      <c r="H602" s="125" t="s">
        <v>242</v>
      </c>
    </row>
    <row r="603" spans="2:8" hidden="1" x14ac:dyDescent="0.3">
      <c r="B603" s="1">
        <v>1</v>
      </c>
      <c r="C603" s="1" t="str">
        <f>'full warmup'!C1077</f>
        <v/>
      </c>
      <c r="E603" s="1">
        <f>'full warmup'!C119</f>
        <v>0</v>
      </c>
      <c r="H603" s="124" t="str">
        <f>IF('full warmup'!C149="","",'full warmup'!C149)</f>
        <v/>
      </c>
    </row>
    <row r="604" spans="2:8" hidden="1" x14ac:dyDescent="0.3">
      <c r="B604" s="1">
        <v>2</v>
      </c>
      <c r="C604" s="1" t="str">
        <f>'full warmup'!C1078</f>
        <v/>
      </c>
      <c r="E604" s="1">
        <f>'full warmup'!C120</f>
        <v>0</v>
      </c>
      <c r="H604" s="124" t="str">
        <f>IF('full warmup'!C173="","",'full warmup'!C173)</f>
        <v/>
      </c>
    </row>
    <row r="605" spans="2:8" hidden="1" x14ac:dyDescent="0.3">
      <c r="B605" s="1">
        <v>3</v>
      </c>
      <c r="C605" s="1" t="str">
        <f>'full warmup'!C1079</f>
        <v/>
      </c>
      <c r="E605" s="1">
        <f>'full warmup'!C121</f>
        <v>0</v>
      </c>
      <c r="H605" s="124" t="str">
        <f>IF('full warmup'!C197="","",'full warmup'!C197)</f>
        <v/>
      </c>
    </row>
    <row r="606" spans="2:8" hidden="1" x14ac:dyDescent="0.3">
      <c r="B606" s="1">
        <v>4</v>
      </c>
      <c r="C606" s="1" t="str">
        <f>'full warmup'!C1080</f>
        <v/>
      </c>
      <c r="E606" s="1">
        <f>'full warmup'!C122</f>
        <v>0</v>
      </c>
      <c r="H606" s="124" t="str">
        <f>IF('full warmup'!C221="","",'full warmup'!C221)</f>
        <v/>
      </c>
    </row>
    <row r="607" spans="2:8" hidden="1" x14ac:dyDescent="0.3">
      <c r="B607" s="1">
        <v>5</v>
      </c>
      <c r="C607" s="1" t="str">
        <f>'full warmup'!C1081</f>
        <v/>
      </c>
      <c r="E607" s="1">
        <f>'full warmup'!C123</f>
        <v>0</v>
      </c>
      <c r="H607" s="124">
        <f>IF('full warmup'!C245="","",'full warmup'!C245)</f>
        <v>45259</v>
      </c>
    </row>
    <row r="608" spans="2:8" hidden="1" x14ac:dyDescent="0.3">
      <c r="B608" s="1">
        <v>6</v>
      </c>
      <c r="C608" s="1" t="str">
        <f>'full warmup'!C1082</f>
        <v/>
      </c>
      <c r="E608" s="1">
        <f>'full warmup'!C124</f>
        <v>0</v>
      </c>
      <c r="H608" s="124" t="str">
        <f>IF('full warmup'!C269="","",'full warmup'!C269)</f>
        <v/>
      </c>
    </row>
    <row r="609" spans="2:15" hidden="1" x14ac:dyDescent="0.3">
      <c r="B609" s="1">
        <v>7</v>
      </c>
      <c r="C609" s="1" t="str">
        <f>'full warmup'!C1083</f>
        <v/>
      </c>
      <c r="E609" s="1">
        <f>'full warmup'!C125</f>
        <v>0</v>
      </c>
      <c r="H609" s="124" t="str">
        <f>IF('full warmup'!C293="","",'full warmup'!C293)</f>
        <v/>
      </c>
    </row>
    <row r="610" spans="2:15" hidden="1" x14ac:dyDescent="0.3">
      <c r="B610" s="1">
        <v>8</v>
      </c>
      <c r="C610" s="1" t="str">
        <f>'full warmup'!C1084</f>
        <v/>
      </c>
      <c r="E610" s="1">
        <f>'full warmup'!C126</f>
        <v>0</v>
      </c>
      <c r="H610" s="124" t="str">
        <f>IF('full warmup'!C317="","",'full warmup'!C317)</f>
        <v/>
      </c>
    </row>
    <row r="611" spans="2:15" hidden="1" x14ac:dyDescent="0.3">
      <c r="B611" s="1">
        <v>9</v>
      </c>
      <c r="C611" s="1" t="str">
        <f>'full warmup'!C1085</f>
        <v/>
      </c>
      <c r="E611" s="1">
        <f>'full warmup'!C127</f>
        <v>0</v>
      </c>
      <c r="H611" s="124" t="str">
        <f>IF('full warmup'!C341="","",'full warmup'!C341)</f>
        <v/>
      </c>
    </row>
    <row r="612" spans="2:15" hidden="1" x14ac:dyDescent="0.3">
      <c r="B612" s="1">
        <v>10</v>
      </c>
      <c r="C612" s="1" t="str">
        <f>'full warmup'!C1086</f>
        <v/>
      </c>
      <c r="E612" s="1">
        <f>'full warmup'!C128</f>
        <v>0</v>
      </c>
      <c r="H612" s="124" t="str">
        <f>IF('full warmup'!C365="","",'full warmup'!C365)</f>
        <v/>
      </c>
    </row>
    <row r="613" spans="2:15" hidden="1" x14ac:dyDescent="0.3">
      <c r="B613" s="1">
        <v>11</v>
      </c>
      <c r="C613" s="1" t="str">
        <f>'full warmup'!C1087</f>
        <v/>
      </c>
      <c r="E613" s="1">
        <f>'full warmup'!C129</f>
        <v>0</v>
      </c>
      <c r="H613" s="124" t="str">
        <f>IF('full warmup'!C389="","",'full warmup'!C389)</f>
        <v/>
      </c>
    </row>
    <row r="614" spans="2:15" hidden="1" x14ac:dyDescent="0.3">
      <c r="B614" s="1">
        <v>12</v>
      </c>
      <c r="C614" s="1" t="str">
        <f>'full warmup'!C1088</f>
        <v/>
      </c>
      <c r="E614" s="1">
        <f>'full warmup'!C130</f>
        <v>0</v>
      </c>
      <c r="H614" s="124" t="str">
        <f>IF('full warmup'!C413="","",'full warmup'!C413)</f>
        <v/>
      </c>
    </row>
    <row r="615" spans="2:15" hidden="1" x14ac:dyDescent="0.3">
      <c r="B615" s="1">
        <v>13</v>
      </c>
      <c r="C615" s="1" t="str">
        <f>'full warmup'!C1089</f>
        <v/>
      </c>
      <c r="E615" s="1">
        <f>'full warmup'!C131</f>
        <v>0</v>
      </c>
      <c r="H615" s="124" t="str">
        <f>IF('full warmup'!C437="","",'full warmup'!C437)</f>
        <v/>
      </c>
    </row>
    <row r="616" spans="2:15" hidden="1" x14ac:dyDescent="0.3">
      <c r="B616" s="1">
        <v>14</v>
      </c>
      <c r="C616" s="1" t="str">
        <f>'full warmup'!C1090</f>
        <v/>
      </c>
      <c r="E616" s="1">
        <f>'full warmup'!C132</f>
        <v>0</v>
      </c>
      <c r="H616" s="124" t="str">
        <f>IF('full warmup'!C461="","",'full warmup'!C461)</f>
        <v/>
      </c>
    </row>
    <row r="617" spans="2:15" hidden="1" x14ac:dyDescent="0.3">
      <c r="B617" s="1">
        <v>15</v>
      </c>
      <c r="C617" s="1" t="str">
        <f>'full warmup'!C1091</f>
        <v/>
      </c>
      <c r="E617" s="1">
        <f>'full warmup'!C133</f>
        <v>0</v>
      </c>
      <c r="H617" s="124" t="str">
        <f>IF('full warmup'!C485="","",'full warmup'!C485)</f>
        <v/>
      </c>
    </row>
    <row r="618" spans="2:15" hidden="1" x14ac:dyDescent="0.3">
      <c r="B618" s="1">
        <v>16</v>
      </c>
      <c r="C618" s="1" t="str">
        <f>'full warmup'!C1092</f>
        <v/>
      </c>
      <c r="E618" s="1">
        <f>'full warmup'!C134</f>
        <v>0</v>
      </c>
      <c r="H618" s="124" t="str">
        <f>IF('full warmup'!C509="","",'full warmup'!C509)</f>
        <v/>
      </c>
    </row>
    <row r="619" spans="2:15" hidden="1" x14ac:dyDescent="0.3">
      <c r="B619" s="1">
        <v>17</v>
      </c>
      <c r="C619" s="1" t="str">
        <f>'full warmup'!C1093</f>
        <v/>
      </c>
      <c r="E619" s="1">
        <f>'full warmup'!C135</f>
        <v>0</v>
      </c>
      <c r="H619" s="124" t="str">
        <f>IF('full warmup'!C533="","",'full warmup'!C533)</f>
        <v/>
      </c>
    </row>
    <row r="620" spans="2:15" hidden="1" x14ac:dyDescent="0.3">
      <c r="B620" s="1">
        <v>18</v>
      </c>
      <c r="C620" s="1" t="str">
        <f>'full warmup'!C1094</f>
        <v/>
      </c>
      <c r="E620" s="1">
        <f>'full warmup'!C136</f>
        <v>0</v>
      </c>
      <c r="H620" s="124" t="str">
        <f>IF('full warmup'!C557="","",'full warmup'!C557)</f>
        <v/>
      </c>
    </row>
    <row r="621" spans="2:15" hidden="1" x14ac:dyDescent="0.3">
      <c r="B621" s="1">
        <v>19</v>
      </c>
      <c r="C621" s="1" t="str">
        <f>'full warmup'!C1095</f>
        <v/>
      </c>
      <c r="E621" s="1">
        <f>'full warmup'!C137</f>
        <v>0</v>
      </c>
      <c r="H621" s="124" t="str">
        <f>IF('full warmup'!C581="","",'full warmup'!C581)</f>
        <v/>
      </c>
      <c r="O621" s="135" t="e">
        <f ca="1">TEXT(J623,"ddd")</f>
        <v>#VALUE!</v>
      </c>
    </row>
    <row r="622" spans="2:15" hidden="1" x14ac:dyDescent="0.3">
      <c r="B622" s="1">
        <v>20</v>
      </c>
      <c r="C622" s="1" t="str">
        <f>'full warmup'!C1096</f>
        <v/>
      </c>
      <c r="E622" s="1">
        <f>'full warmup'!C138</f>
        <v>0</v>
      </c>
      <c r="H622" s="124" t="str">
        <f>IF('full warmup'!C605="","",'full warmup'!C605)</f>
        <v/>
      </c>
    </row>
    <row r="623" spans="2:15" hidden="1" x14ac:dyDescent="0.3">
      <c r="E623" s="136">
        <f>IF($D$9=$C603,E603,IF($D$9=$C604,E604,IF($D$9=$C605,E605,IF($D$9=$C606,E606,IF($D$9=$C607,E607,IF($D$9=$C608,E608,IF($D$9=$C609,E609,IF($D$9=$C610,E610,IF($D$9=$C611,E611,IF($D$9=$C612,E612,IF($D$9=$C613,E613,IF($D$9=$C614,E614,IF($D$9=$C615,E615,IF($D$9=$C616,E616,IF($D$9=$C617,E617,IF($D$9=$C618,E618,IF($D$9=$C619,E619,IF($D$9=$C620,E620,IF($D$9=$C621,E621,IF($D$9=$C622,E622,IF($D$9="","")))))))))))))))))))))</f>
        <v>0</v>
      </c>
      <c r="H623" s="91" t="str">
        <f>IF($D$9=$C603,H603,IF($D$9=$C604,H604,IF($D$9=$C605,H605,IF($D$9=$C606,H606,IF($D$9=$C607,H607,IF($D$9=$C608,H608,IF($D$9=$C609,H609,IF($D$9=$C610,H610,IF($D$9=$C611,H611,IF($D$9=$C612,H612,IF($D$9=$C613,H613,IF($D$9=$C614,H614,IF($D$9=$C615,H615,IF($D$9=$C616,H616,IF($D$9=$C617,H617,IF($D$9=$C618,H618,IF($D$9=$C619,H619,IF($D$9=$C620,H620,IF($D$9=$C621,H621,IF($D$9=$C622,H622,IF($D$9="","")))))))))))))))))))))</f>
        <v/>
      </c>
      <c r="I623" s="91">
        <f ca="1">TODAY()</f>
        <v>45274</v>
      </c>
      <c r="J623" s="1" t="e">
        <f ca="1">I623-H623</f>
        <v>#VALUE!</v>
      </c>
    </row>
    <row r="624" spans="2:15" hidden="1" x14ac:dyDescent="0.3">
      <c r="C624" s="5" t="str">
        <f ca="1">IF(NOT(I623&gt;H623),O624,CONCATENATE(G624,H624,I624,J624,K624,L624,M624))</f>
        <v>I recently invited you to tell me a need of yours that I can serve.</v>
      </c>
      <c r="F624" s="6" t="s">
        <v>3</v>
      </c>
      <c r="G624" s="1" t="s">
        <v>243</v>
      </c>
      <c r="H624" s="3" t="e">
        <f>MONTH(H623)</f>
        <v>#VALUE!</v>
      </c>
      <c r="I624" s="6" t="s">
        <v>245</v>
      </c>
      <c r="J624" s="91" t="e">
        <f>DAY(H623)</f>
        <v>#VALUE!</v>
      </c>
      <c r="K624" s="6" t="s">
        <v>245</v>
      </c>
      <c r="L624" s="1" t="e">
        <f>YEAR(H623)</f>
        <v>#VALUE!</v>
      </c>
      <c r="M624" s="1" t="s">
        <v>244</v>
      </c>
      <c r="N624" s="79" t="s">
        <v>3</v>
      </c>
      <c r="O624" s="1" t="s">
        <v>316</v>
      </c>
    </row>
    <row r="625" spans="3:16" hidden="1" x14ac:dyDescent="0.3">
      <c r="C625" s="4" t="str">
        <f ca="1">IF(NOT(I623&gt;H623),O625,CONCATENATE(G625,H625,I625,J625,K625,L625,M625))</f>
        <v>Today, I am following up on this invitation. What can I do for you?</v>
      </c>
      <c r="G625" s="1" t="s">
        <v>246</v>
      </c>
      <c r="H625" s="1" t="e">
        <f ca="1">J623</f>
        <v>#VALUE!</v>
      </c>
      <c r="I625" s="1" t="e">
        <f ca="1">IF(H625=1," day"," days")</f>
        <v>#VALUE!</v>
      </c>
      <c r="J625" s="1" t="s">
        <v>247</v>
      </c>
      <c r="N625" s="79" t="s">
        <v>3</v>
      </c>
      <c r="O625" s="1" t="s">
        <v>317</v>
      </c>
    </row>
    <row r="626" spans="3:16" hidden="1" x14ac:dyDescent="0.3">
      <c r="C626" s="4" t="str">
        <f t="shared" ref="C626:C636" si="2">CONCATENATE(G626,H626,I626,J626,K626,L626,M626)</f>
        <v>Remember to try to keep your expressed need…</v>
      </c>
      <c r="G626" s="1" t="s">
        <v>264</v>
      </c>
      <c r="H626" s="124"/>
    </row>
    <row r="627" spans="3:16" hidden="1" x14ac:dyDescent="0.3">
      <c r="C627" s="144" t="str">
        <f t="shared" si="2"/>
        <v>1.  simple, not complicated</v>
      </c>
      <c r="G627" s="1">
        <v>1</v>
      </c>
      <c r="H627" s="3" t="s">
        <v>265</v>
      </c>
      <c r="I627" s="3" t="s">
        <v>248</v>
      </c>
    </row>
    <row r="628" spans="3:16" hidden="1" x14ac:dyDescent="0.3">
      <c r="C628" s="144" t="str">
        <f t="shared" si="2"/>
        <v>2.  easy, not too challenging</v>
      </c>
      <c r="G628" s="1">
        <v>2</v>
      </c>
      <c r="H628" s="3" t="s">
        <v>265</v>
      </c>
      <c r="I628" s="3" t="s">
        <v>249</v>
      </c>
    </row>
    <row r="629" spans="3:16" hidden="1" x14ac:dyDescent="0.3">
      <c r="C629" s="144" t="str">
        <f t="shared" si="2"/>
        <v>3.  brief, won't take too long</v>
      </c>
      <c r="G629" s="1">
        <v>3</v>
      </c>
      <c r="H629" s="3" t="s">
        <v>265</v>
      </c>
      <c r="I629" s="3" t="s">
        <v>250</v>
      </c>
      <c r="P629" s="1" t="s">
        <v>259</v>
      </c>
    </row>
    <row r="630" spans="3:16" hidden="1" x14ac:dyDescent="0.3">
      <c r="C630" s="144" t="str">
        <f t="shared" si="2"/>
        <v>4.  specific, not too vague for me to do</v>
      </c>
      <c r="G630" s="1">
        <v>4</v>
      </c>
      <c r="H630" s="3" t="s">
        <v>265</v>
      </c>
      <c r="I630" s="3" t="s">
        <v>251</v>
      </c>
    </row>
    <row r="631" spans="3:16" hidden="1" x14ac:dyDescent="0.3">
      <c r="C631" s="144" t="str">
        <f t="shared" si="2"/>
        <v>5.  actionable, that I can actually do it for you</v>
      </c>
      <c r="G631" s="1">
        <v>5</v>
      </c>
      <c r="H631" s="3" t="s">
        <v>265</v>
      </c>
      <c r="I631" s="3" t="s">
        <v>252</v>
      </c>
    </row>
    <row r="632" spans="3:16" hidden="1" x14ac:dyDescent="0.3">
      <c r="C632" s="144" t="str">
        <f t="shared" si="2"/>
        <v>6.  meaningful, that it satifies an actual need you have</v>
      </c>
      <c r="G632" s="1">
        <v>6</v>
      </c>
      <c r="H632" s="3" t="s">
        <v>265</v>
      </c>
      <c r="I632" s="3" t="s">
        <v>253</v>
      </c>
    </row>
    <row r="633" spans="3:16" hidden="1" x14ac:dyDescent="0.3">
      <c r="C633" s="4" t="str">
        <f>CONCATENATE(G633,H633,I633,J633,K633,L633,M633,N633,O633,P633)</f>
        <v xml:space="preserve">For example, give you a complement, offer you an apology, thank you for something you did for me, listen to you vent about something you found frustrating, remind me to not taking something too personal, encourage you to face something challenging, or anything like these that I can now do for you. </v>
      </c>
      <c r="G633" s="1" t="s">
        <v>254</v>
      </c>
      <c r="I633" s="1" t="s">
        <v>255</v>
      </c>
      <c r="J633" s="1" t="s">
        <v>256</v>
      </c>
      <c r="K633" s="1" t="s">
        <v>257</v>
      </c>
      <c r="L633" s="1" t="s">
        <v>258</v>
      </c>
      <c r="M633" s="1" t="s">
        <v>260</v>
      </c>
      <c r="N633" s="1" t="s">
        <v>268</v>
      </c>
      <c r="O633" s="1" t="s">
        <v>261</v>
      </c>
    </row>
    <row r="634" spans="3:16" hidden="1" x14ac:dyDescent="0.3">
      <c r="C634" s="4" t="str">
        <f t="shared" si="2"/>
        <v xml:space="preserve">You could state a need I am already serving. If you need a little more time to think up a need, I can wait. Later, I will have you hold me accountable by asking you how well I served your need. </v>
      </c>
      <c r="G634" s="1" t="s">
        <v>262</v>
      </c>
    </row>
    <row r="635" spans="3:16" hidden="1" x14ac:dyDescent="0.3">
      <c r="C635" s="4" t="str">
        <f t="shared" si="2"/>
        <v>This is for you, 0, to offer you opportunity to improve a little something in your life. While this can improve my responsiveness to your needs and to the needs of others. Thank you for affording me this opportunity to do this for you.</v>
      </c>
      <c r="G635" s="1" t="s">
        <v>263</v>
      </c>
      <c r="H635" s="3">
        <f>E623</f>
        <v>0</v>
      </c>
      <c r="I635" s="1" t="s">
        <v>269</v>
      </c>
    </row>
    <row r="636" spans="3:16" hidden="1" x14ac:dyDescent="0.3">
      <c r="C636" s="4" t="str">
        <f t="shared" si="2"/>
        <v>Please contact me so I can start responding to your shared need. I look forward to this opportunity to serve you!</v>
      </c>
      <c r="G636" s="1" t="s">
        <v>309</v>
      </c>
    </row>
    <row r="637" spans="3:16" hidden="1" x14ac:dyDescent="0.3"/>
    <row r="638" spans="3:16" hidden="1" x14ac:dyDescent="0.3"/>
    <row r="639" spans="3:16" hidden="1" x14ac:dyDescent="0.3"/>
    <row r="640" spans="3:16" hidden="1" x14ac:dyDescent="0.3">
      <c r="C640" s="1" t="s">
        <v>310</v>
      </c>
      <c r="G640" s="1" t="s">
        <v>271</v>
      </c>
      <c r="P640" s="1" t="s">
        <v>239</v>
      </c>
    </row>
    <row r="641" spans="3:3" hidden="1" x14ac:dyDescent="0.3"/>
    <row r="642" spans="3:3" hidden="1" x14ac:dyDescent="0.3"/>
    <row r="643" spans="3:3" hidden="1" x14ac:dyDescent="0.3">
      <c r="C643" s="1" t="s">
        <v>272</v>
      </c>
    </row>
    <row r="644" spans="3:3" hidden="1" x14ac:dyDescent="0.3">
      <c r="C644" s="1" t="s">
        <v>311</v>
      </c>
    </row>
    <row r="645" spans="3:3" hidden="1" x14ac:dyDescent="0.3">
      <c r="C645" s="1" t="s">
        <v>312</v>
      </c>
    </row>
    <row r="646" spans="3:3" hidden="1" x14ac:dyDescent="0.3">
      <c r="C646" s="1" t="s">
        <v>313</v>
      </c>
    </row>
    <row r="647" spans="3:3" hidden="1" x14ac:dyDescent="0.3">
      <c r="C647" s="1" t="s">
        <v>314</v>
      </c>
    </row>
    <row r="648" spans="3:3" hidden="1" x14ac:dyDescent="0.3">
      <c r="C648" s="1" t="s">
        <v>315</v>
      </c>
    </row>
    <row r="649" spans="3:3" hidden="1" x14ac:dyDescent="0.3"/>
    <row r="650" spans="3:3" hidden="1" x14ac:dyDescent="0.3"/>
    <row r="651" spans="3:3" hidden="1" x14ac:dyDescent="0.3"/>
    <row r="652" spans="3:3" hidden="1" x14ac:dyDescent="0.3"/>
    <row r="653" spans="3:3" hidden="1" x14ac:dyDescent="0.3"/>
    <row r="654" spans="3:3" hidden="1" x14ac:dyDescent="0.3"/>
    <row r="655" spans="3:3" hidden="1" x14ac:dyDescent="0.3"/>
    <row r="656" spans="3:3"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sheetData>
  <mergeCells count="18">
    <mergeCell ref="B30:M30"/>
    <mergeCell ref="B25:M25"/>
    <mergeCell ref="B26:M26"/>
    <mergeCell ref="B27:M27"/>
    <mergeCell ref="B28:M28"/>
    <mergeCell ref="B17:M17"/>
    <mergeCell ref="B18:M18"/>
    <mergeCell ref="B2:M2"/>
    <mergeCell ref="B4:M4"/>
    <mergeCell ref="D7:M7"/>
    <mergeCell ref="D9:M9"/>
    <mergeCell ref="D11:M11"/>
    <mergeCell ref="D13:M13"/>
    <mergeCell ref="D8:M8"/>
    <mergeCell ref="D10:M10"/>
    <mergeCell ref="D12:M12"/>
    <mergeCell ref="D14:M14"/>
    <mergeCell ref="B16:M16"/>
  </mergeCells>
  <dataValidations count="1">
    <dataValidation type="list" errorStyle="information" allowBlank="1" showInputMessage="1" showErrorMessage="1" error="Pick one of these titles or draft your own" sqref="D11:M11" xr:uid="{38CFD13D-EDAE-4619-AC27-E5C168250557}">
      <formula1>$C$643:$C$648</formula1>
    </dataValidation>
  </dataValidations>
  <hyperlinks>
    <hyperlink ref="B2:M2" location="'full warmup'!B696:H698" tooltip="back to Message Templates" display="FOLLOW-UP" xr:uid="{18EB6F72-0BDE-4780-BAFF-16E02F59FCB3}"/>
    <hyperlink ref="D7:M7" location="'full warmup'!E5" tooltip="Click to go the field where you first enter your name" display="'full warmup'!E5" xr:uid="{E9FDFCB3-1645-47ED-A531-ECF4824FF977}"/>
  </hyperlinks>
  <printOptions horizontalCentered="1"/>
  <pageMargins left="0.5" right="0.5" top="0.75" bottom="0.75" header="0.3" footer="0.3"/>
  <pageSetup orientation="portrait" r:id="rId1"/>
  <headerFooter>
    <oddHeader>&amp;C&amp;"Arial Black,Regular"&amp;14&amp;K009641Anankelogy&amp;K004623 &amp;K7030A0Foundation</oddHeader>
    <oddFooter>&amp;C&amp;D</oddFooter>
  </headerFooter>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a name from the dropdown list" xr:uid="{838CA082-E8C2-48A9-A1B2-734D9EB612EB}">
          <x14:formula1>
            <xm:f>'full warmup'!$C$1077:$C$1096</xm:f>
          </x14:formula1>
          <xm:sqref>D9:L9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B7CEC-ED2A-4C9C-BDCB-6E7148D086B6}">
  <dimension ref="A1:N700"/>
  <sheetViews>
    <sheetView zoomScaleNormal="100" zoomScaleSheetLayoutView="100" workbookViewId="0">
      <selection activeCell="N3" sqref="A1:N3"/>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14" ht="10" customHeight="1" thickBot="1" x14ac:dyDescent="0.35">
      <c r="A1" s="96"/>
      <c r="B1" s="99"/>
      <c r="C1" s="97"/>
      <c r="D1" s="97"/>
      <c r="E1" s="97"/>
      <c r="F1" s="97"/>
      <c r="G1" s="97"/>
      <c r="H1" s="97"/>
      <c r="I1" s="97"/>
      <c r="J1" s="97"/>
      <c r="K1" s="97"/>
      <c r="L1" s="97"/>
      <c r="M1" s="97"/>
      <c r="N1" s="98"/>
    </row>
    <row r="2" spans="1:14" ht="45" customHeight="1" thickTop="1" thickBot="1" x14ac:dyDescent="0.35">
      <c r="A2" s="47"/>
      <c r="B2" s="282" t="str">
        <f>C601</f>
        <v>RATE MY EFFORTS</v>
      </c>
      <c r="C2" s="283"/>
      <c r="D2" s="283"/>
      <c r="E2" s="283"/>
      <c r="F2" s="283"/>
      <c r="G2" s="283"/>
      <c r="H2" s="283"/>
      <c r="I2" s="283"/>
      <c r="J2" s="283"/>
      <c r="K2" s="283"/>
      <c r="L2" s="283"/>
      <c r="M2" s="284"/>
      <c r="N2" s="48"/>
    </row>
    <row r="3" spans="1:14" ht="10" customHeight="1" thickTop="1" x14ac:dyDescent="0.3">
      <c r="A3" s="47"/>
      <c r="B3" s="73"/>
      <c r="C3" s="74"/>
      <c r="D3" s="74"/>
      <c r="E3" s="74"/>
      <c r="F3" s="74"/>
      <c r="G3" s="74"/>
      <c r="H3" s="74"/>
      <c r="I3" s="74"/>
      <c r="J3" s="74"/>
      <c r="K3" s="74"/>
      <c r="L3" s="74"/>
      <c r="M3" s="74"/>
      <c r="N3" s="48"/>
    </row>
    <row r="4" spans="1:14" ht="15" customHeight="1" x14ac:dyDescent="0.3">
      <c r="A4" s="126"/>
      <c r="B4" s="285"/>
      <c r="C4" s="285"/>
      <c r="D4" s="285"/>
      <c r="E4" s="285"/>
      <c r="F4" s="285"/>
      <c r="G4" s="285"/>
      <c r="H4" s="285"/>
      <c r="I4" s="285"/>
      <c r="J4" s="285"/>
      <c r="K4" s="285"/>
      <c r="L4" s="285"/>
      <c r="M4" s="285"/>
      <c r="N4" s="127"/>
    </row>
    <row r="5" spans="1:14" ht="15" customHeight="1" x14ac:dyDescent="0.3">
      <c r="A5" s="21"/>
      <c r="B5" s="88"/>
      <c r="C5" s="88"/>
      <c r="D5" s="88"/>
      <c r="E5" s="88"/>
      <c r="F5" s="88"/>
      <c r="G5" s="88"/>
      <c r="H5" s="88"/>
      <c r="I5" s="88"/>
      <c r="J5" s="88"/>
      <c r="K5" s="88"/>
      <c r="L5" s="88"/>
      <c r="M5" s="88"/>
      <c r="N5" s="20"/>
    </row>
    <row r="6" spans="1:14" ht="5" customHeight="1" x14ac:dyDescent="0.3">
      <c r="A6" s="21"/>
      <c r="B6" s="88"/>
      <c r="C6" s="88"/>
      <c r="D6" s="88"/>
      <c r="E6" s="88"/>
      <c r="F6" s="88"/>
      <c r="G6" s="88"/>
      <c r="H6" s="88"/>
      <c r="I6" s="88"/>
      <c r="J6" s="88"/>
      <c r="K6" s="88"/>
      <c r="L6" s="88"/>
      <c r="M6" s="88"/>
      <c r="N6" s="20"/>
    </row>
    <row r="7" spans="1:14" ht="20" customHeight="1" x14ac:dyDescent="0.3">
      <c r="A7" s="21"/>
      <c r="B7" s="88"/>
      <c r="C7" s="128" t="s">
        <v>223</v>
      </c>
      <c r="D7" s="286" t="str">
        <f>IF(C613=0,"",C613)</f>
        <v/>
      </c>
      <c r="E7" s="286"/>
      <c r="F7" s="286"/>
      <c r="G7" s="286"/>
      <c r="H7" s="286"/>
      <c r="I7" s="286"/>
      <c r="J7" s="286"/>
      <c r="K7" s="286"/>
      <c r="L7" s="286"/>
      <c r="M7" s="286"/>
      <c r="N7" s="20"/>
    </row>
    <row r="8" spans="1:14" ht="5" customHeight="1" x14ac:dyDescent="0.3">
      <c r="A8" s="21"/>
      <c r="B8" s="88"/>
      <c r="C8" s="129"/>
      <c r="D8" s="288"/>
      <c r="E8" s="288"/>
      <c r="F8" s="288"/>
      <c r="G8" s="288"/>
      <c r="H8" s="288"/>
      <c r="I8" s="288"/>
      <c r="J8" s="288"/>
      <c r="K8" s="288"/>
      <c r="L8" s="288"/>
      <c r="M8" s="288"/>
      <c r="N8" s="20"/>
    </row>
    <row r="9" spans="1:14" ht="20" customHeight="1" x14ac:dyDescent="0.3">
      <c r="A9" s="21"/>
      <c r="B9" s="88"/>
      <c r="C9" s="128" t="s">
        <v>224</v>
      </c>
      <c r="D9" s="286"/>
      <c r="E9" s="286"/>
      <c r="F9" s="286"/>
      <c r="G9" s="286"/>
      <c r="H9" s="286"/>
      <c r="I9" s="286"/>
      <c r="J9" s="286"/>
      <c r="K9" s="286"/>
      <c r="L9" s="286"/>
      <c r="M9" s="286"/>
      <c r="N9" s="20"/>
    </row>
    <row r="10" spans="1:14" ht="5" customHeight="1" x14ac:dyDescent="0.3">
      <c r="A10" s="21"/>
      <c r="B10" s="88"/>
      <c r="C10" s="129"/>
      <c r="D10" s="288"/>
      <c r="E10" s="288"/>
      <c r="F10" s="288"/>
      <c r="G10" s="288"/>
      <c r="H10" s="288"/>
      <c r="I10" s="288"/>
      <c r="J10" s="288"/>
      <c r="K10" s="288"/>
      <c r="L10" s="288"/>
      <c r="M10" s="288"/>
      <c r="N10" s="20"/>
    </row>
    <row r="11" spans="1:14" ht="20" customHeight="1" x14ac:dyDescent="0.3">
      <c r="A11" s="21"/>
      <c r="B11" s="88"/>
      <c r="C11" s="128" t="s">
        <v>225</v>
      </c>
      <c r="D11" s="286" t="s">
        <v>275</v>
      </c>
      <c r="E11" s="286"/>
      <c r="F11" s="286"/>
      <c r="G11" s="286"/>
      <c r="H11" s="286"/>
      <c r="I11" s="286"/>
      <c r="J11" s="286"/>
      <c r="K11" s="286"/>
      <c r="L11" s="286"/>
      <c r="M11" s="286"/>
      <c r="N11" s="20"/>
    </row>
    <row r="12" spans="1:14" ht="5" customHeight="1" x14ac:dyDescent="0.3">
      <c r="A12" s="21"/>
      <c r="B12" s="88"/>
      <c r="C12" s="129"/>
      <c r="D12" s="288"/>
      <c r="E12" s="288"/>
      <c r="F12" s="288"/>
      <c r="G12" s="288"/>
      <c r="H12" s="288"/>
      <c r="I12" s="288"/>
      <c r="J12" s="288"/>
      <c r="K12" s="288"/>
      <c r="L12" s="288"/>
      <c r="M12" s="288"/>
      <c r="N12" s="20"/>
    </row>
    <row r="13" spans="1:14" ht="20" customHeight="1" x14ac:dyDescent="0.3">
      <c r="A13" s="21"/>
      <c r="B13" s="88"/>
      <c r="C13" s="128" t="s">
        <v>222</v>
      </c>
      <c r="D13" s="287">
        <f ca="1">TODAY()</f>
        <v>45274</v>
      </c>
      <c r="E13" s="287"/>
      <c r="F13" s="287"/>
      <c r="G13" s="287"/>
      <c r="H13" s="287"/>
      <c r="I13" s="287"/>
      <c r="J13" s="287"/>
      <c r="K13" s="287"/>
      <c r="L13" s="287"/>
      <c r="M13" s="287"/>
      <c r="N13" s="20"/>
    </row>
    <row r="14" spans="1:14" ht="5" customHeight="1" x14ac:dyDescent="0.3">
      <c r="A14" s="21"/>
      <c r="B14" s="88"/>
      <c r="C14" s="88"/>
      <c r="D14" s="289"/>
      <c r="E14" s="289"/>
      <c r="F14" s="289"/>
      <c r="G14" s="289"/>
      <c r="H14" s="289"/>
      <c r="I14" s="289"/>
      <c r="J14" s="289"/>
      <c r="K14" s="289"/>
      <c r="L14" s="289"/>
      <c r="M14" s="289"/>
      <c r="N14" s="20"/>
    </row>
    <row r="15" spans="1:14" ht="20" customHeight="1" x14ac:dyDescent="0.3">
      <c r="A15" s="21"/>
      <c r="B15" s="88"/>
      <c r="C15" s="88"/>
      <c r="D15" s="88"/>
      <c r="E15" s="88"/>
      <c r="F15" s="88"/>
      <c r="G15" s="88"/>
      <c r="H15" s="88"/>
      <c r="I15" s="88"/>
      <c r="J15" s="88"/>
      <c r="K15" s="88"/>
      <c r="L15" s="88"/>
      <c r="M15" s="88"/>
      <c r="N15" s="20"/>
    </row>
    <row r="16" spans="1:14" ht="45" customHeight="1" x14ac:dyDescent="0.3">
      <c r="A16" s="21"/>
      <c r="B16" s="281" t="str">
        <f>C638</f>
        <v>Thank you for expressing a need I could serve. Now I invite you to hold me accountable by telling me how well I satisfied your shared need.</v>
      </c>
      <c r="C16" s="281"/>
      <c r="D16" s="281"/>
      <c r="E16" s="281"/>
      <c r="F16" s="281"/>
      <c r="G16" s="281"/>
      <c r="H16" s="281"/>
      <c r="I16" s="281"/>
      <c r="J16" s="281"/>
      <c r="K16" s="281"/>
      <c r="L16" s="281"/>
      <c r="M16" s="281"/>
      <c r="N16" s="20"/>
    </row>
    <row r="17" spans="1:14" ht="5" customHeight="1" thickBot="1" x14ac:dyDescent="0.35">
      <c r="A17" s="21"/>
      <c r="B17" s="94"/>
      <c r="C17" s="94"/>
      <c r="D17" s="94"/>
      <c r="E17" s="94"/>
      <c r="F17" s="94"/>
      <c r="G17" s="94"/>
      <c r="H17" s="94"/>
      <c r="I17" s="94"/>
      <c r="J17" s="94"/>
      <c r="K17" s="94"/>
      <c r="L17" s="94"/>
      <c r="M17" s="94"/>
      <c r="N17" s="20"/>
    </row>
    <row r="18" spans="1:14" ht="25" customHeight="1" thickBot="1" x14ac:dyDescent="0.35">
      <c r="A18" s="21"/>
      <c r="B18" s="88"/>
      <c r="C18" s="140"/>
      <c r="D18" s="138" t="s">
        <v>76</v>
      </c>
      <c r="E18" s="88"/>
      <c r="F18" s="88"/>
      <c r="G18" s="88"/>
      <c r="H18" s="88"/>
      <c r="I18" s="140"/>
      <c r="J18" s="138" t="s">
        <v>78</v>
      </c>
      <c r="K18" s="88"/>
      <c r="L18" s="88"/>
      <c r="M18" s="88"/>
      <c r="N18" s="20"/>
    </row>
    <row r="19" spans="1:14" ht="5" customHeight="1" thickBot="1" x14ac:dyDescent="0.35">
      <c r="A19" s="21"/>
      <c r="B19" s="281"/>
      <c r="C19" s="281"/>
      <c r="D19" s="281"/>
      <c r="E19" s="281"/>
      <c r="F19" s="281"/>
      <c r="G19" s="281"/>
      <c r="H19" s="281"/>
      <c r="I19" s="281"/>
      <c r="J19" s="281"/>
      <c r="K19" s="281"/>
      <c r="L19" s="281"/>
      <c r="M19" s="281"/>
      <c r="N19" s="20"/>
    </row>
    <row r="20" spans="1:14" ht="25" customHeight="1" thickBot="1" x14ac:dyDescent="0.35">
      <c r="A20" s="21"/>
      <c r="B20" s="88"/>
      <c r="C20" s="140"/>
      <c r="D20" s="138" t="s">
        <v>273</v>
      </c>
      <c r="E20" s="88"/>
      <c r="F20" s="88"/>
      <c r="G20" s="88"/>
      <c r="H20" s="88"/>
      <c r="I20" s="140"/>
      <c r="J20" s="138" t="s">
        <v>79</v>
      </c>
      <c r="K20" s="88"/>
      <c r="L20" s="88"/>
      <c r="M20" s="88"/>
      <c r="N20" s="20"/>
    </row>
    <row r="21" spans="1:14" ht="5" customHeight="1" thickBot="1" x14ac:dyDescent="0.35">
      <c r="A21" s="21"/>
      <c r="B21" s="281"/>
      <c r="C21" s="281"/>
      <c r="D21" s="281"/>
      <c r="E21" s="281"/>
      <c r="F21" s="281"/>
      <c r="G21" s="281"/>
      <c r="H21" s="281"/>
      <c r="I21" s="281"/>
      <c r="J21" s="281"/>
      <c r="K21" s="281"/>
      <c r="L21" s="281"/>
      <c r="M21" s="281"/>
      <c r="N21" s="20"/>
    </row>
    <row r="22" spans="1:14" ht="25" customHeight="1" thickBot="1" x14ac:dyDescent="0.35">
      <c r="A22" s="21"/>
      <c r="B22" s="88"/>
      <c r="C22" s="140"/>
      <c r="D22" s="138" t="s">
        <v>274</v>
      </c>
      <c r="E22" s="88"/>
      <c r="F22" s="88"/>
      <c r="G22" s="88"/>
      <c r="H22" s="88"/>
      <c r="I22" s="140"/>
      <c r="J22" s="138" t="s">
        <v>203</v>
      </c>
      <c r="K22" s="88"/>
      <c r="L22" s="88"/>
      <c r="M22" s="88"/>
      <c r="N22" s="20"/>
    </row>
    <row r="23" spans="1:14" ht="5" customHeight="1" x14ac:dyDescent="0.3">
      <c r="A23" s="21"/>
      <c r="B23" s="132"/>
      <c r="C23" s="88"/>
      <c r="D23" s="88"/>
      <c r="E23" s="88"/>
      <c r="F23" s="88"/>
      <c r="G23" s="88"/>
      <c r="H23" s="88"/>
      <c r="I23" s="88"/>
      <c r="J23" s="88"/>
      <c r="K23" s="88"/>
      <c r="L23" s="88"/>
      <c r="M23" s="88"/>
      <c r="N23" s="20"/>
    </row>
    <row r="24" spans="1:14" ht="45" customHeight="1" x14ac:dyDescent="0.3">
      <c r="A24" s="21"/>
      <c r="B24" s="281" t="str">
        <f>C641</f>
        <v>If you could also let me know how meaningful this need is or was for you. Please note the level of urgency this need had for you.</v>
      </c>
      <c r="C24" s="281"/>
      <c r="D24" s="281"/>
      <c r="E24" s="281"/>
      <c r="F24" s="281"/>
      <c r="G24" s="281"/>
      <c r="H24" s="281"/>
      <c r="I24" s="281"/>
      <c r="J24" s="281"/>
      <c r="K24" s="281"/>
      <c r="L24" s="281"/>
      <c r="M24" s="281"/>
      <c r="N24" s="20"/>
    </row>
    <row r="25" spans="1:14" ht="5" customHeight="1" thickBot="1" x14ac:dyDescent="0.35">
      <c r="A25" s="21"/>
      <c r="B25" s="94"/>
      <c r="C25" s="94"/>
      <c r="D25" s="94"/>
      <c r="E25" s="94"/>
      <c r="F25" s="94"/>
      <c r="G25" s="94"/>
      <c r="H25" s="94"/>
      <c r="I25" s="94"/>
      <c r="J25" s="94"/>
      <c r="K25" s="94"/>
      <c r="L25" s="94"/>
      <c r="M25" s="94"/>
      <c r="N25" s="20"/>
    </row>
    <row r="26" spans="1:14" ht="25" customHeight="1" thickBot="1" x14ac:dyDescent="0.35">
      <c r="A26" s="21"/>
      <c r="B26" s="134"/>
      <c r="C26" s="140"/>
      <c r="D26" s="138" t="s">
        <v>103</v>
      </c>
      <c r="E26" s="88"/>
      <c r="F26" s="139"/>
      <c r="G26" s="139"/>
      <c r="H26" s="139"/>
      <c r="I26" s="140"/>
      <c r="J26" s="138" t="s">
        <v>68</v>
      </c>
      <c r="K26" s="139"/>
      <c r="L26" s="139"/>
      <c r="M26" s="139"/>
      <c r="N26" s="20"/>
    </row>
    <row r="27" spans="1:14" ht="5" customHeight="1" thickBot="1" x14ac:dyDescent="0.35">
      <c r="A27" s="21"/>
      <c r="B27" s="134"/>
      <c r="C27" s="226"/>
      <c r="D27" s="226"/>
      <c r="E27" s="226"/>
      <c r="F27" s="226"/>
      <c r="G27" s="226"/>
      <c r="H27" s="226"/>
      <c r="I27" s="226"/>
      <c r="J27" s="226"/>
      <c r="K27" s="226"/>
      <c r="L27" s="226"/>
      <c r="M27" s="226"/>
      <c r="N27" s="20"/>
    </row>
    <row r="28" spans="1:14" ht="25" customHeight="1" thickBot="1" x14ac:dyDescent="0.35">
      <c r="A28" s="21"/>
      <c r="B28" s="134"/>
      <c r="C28" s="140"/>
      <c r="D28" s="138" t="s">
        <v>70</v>
      </c>
      <c r="E28" s="88"/>
      <c r="F28" s="139"/>
      <c r="G28" s="139"/>
      <c r="H28" s="139"/>
      <c r="I28" s="140"/>
      <c r="J28" s="138" t="s">
        <v>67</v>
      </c>
      <c r="K28" s="139"/>
      <c r="L28" s="139"/>
      <c r="M28" s="139"/>
      <c r="N28" s="20"/>
    </row>
    <row r="29" spans="1:14" ht="5" customHeight="1" thickBot="1" x14ac:dyDescent="0.35">
      <c r="A29" s="21"/>
      <c r="B29" s="134"/>
      <c r="C29" s="39"/>
      <c r="D29" s="39"/>
      <c r="E29" s="39"/>
      <c r="F29" s="39"/>
      <c r="G29" s="39"/>
      <c r="H29" s="39"/>
      <c r="I29" s="39"/>
      <c r="J29" s="39"/>
      <c r="K29" s="39"/>
      <c r="L29" s="39"/>
      <c r="M29" s="39"/>
      <c r="N29" s="20"/>
    </row>
    <row r="30" spans="1:14" ht="25" customHeight="1" thickBot="1" x14ac:dyDescent="0.35">
      <c r="A30" s="21"/>
      <c r="B30" s="134"/>
      <c r="C30" s="140"/>
      <c r="D30" s="138" t="s">
        <v>69</v>
      </c>
      <c r="E30" s="39"/>
      <c r="F30" s="39"/>
      <c r="G30" s="39"/>
      <c r="H30" s="39"/>
      <c r="I30" s="140"/>
      <c r="J30" s="138" t="s">
        <v>203</v>
      </c>
      <c r="K30" s="39"/>
      <c r="L30" s="39"/>
      <c r="M30" s="39"/>
      <c r="N30" s="20"/>
    </row>
    <row r="31" spans="1:14" ht="5" customHeight="1" x14ac:dyDescent="0.3">
      <c r="A31" s="21"/>
      <c r="B31" s="134"/>
      <c r="C31" s="39"/>
      <c r="D31" s="39"/>
      <c r="E31" s="39"/>
      <c r="F31" s="39"/>
      <c r="G31" s="39"/>
      <c r="H31" s="39"/>
      <c r="I31" s="39"/>
      <c r="J31" s="39"/>
      <c r="K31" s="39"/>
      <c r="L31" s="39"/>
      <c r="M31" s="39"/>
      <c r="N31" s="20"/>
    </row>
    <row r="32" spans="1:14" ht="50" customHeight="1" x14ac:dyDescent="0.3">
      <c r="A32" s="21"/>
      <c r="B32" s="281" t="str">
        <f>C644</f>
        <v>If I do not hear back from you soon, I will assess for myself how satisfied you seemed to be with my efforts. And how apparently urgent this need seemed to be for you.</v>
      </c>
      <c r="C32" s="281"/>
      <c r="D32" s="281"/>
      <c r="E32" s="281"/>
      <c r="F32" s="281"/>
      <c r="G32" s="281"/>
      <c r="H32" s="281"/>
      <c r="I32" s="281"/>
      <c r="J32" s="281"/>
      <c r="K32" s="281"/>
      <c r="L32" s="281"/>
      <c r="M32" s="281"/>
      <c r="N32" s="20"/>
    </row>
    <row r="33" spans="1:14" ht="50" customHeight="1" x14ac:dyDescent="0.3">
      <c r="A33" s="21"/>
      <c r="B33" s="281" t="str">
        <f t="shared" ref="B33:B35" si="0">C645</f>
        <v>By letting me help you, you are helping me to become more need-responsive. I learn to rely less on impersonal rules and personally engage others what they need of me.</v>
      </c>
      <c r="C33" s="281"/>
      <c r="D33" s="281"/>
      <c r="E33" s="281"/>
      <c r="F33" s="281"/>
      <c r="G33" s="281"/>
      <c r="H33" s="281"/>
      <c r="I33" s="281"/>
      <c r="J33" s="281"/>
      <c r="K33" s="281"/>
      <c r="L33" s="281"/>
      <c r="M33" s="281"/>
      <c r="N33" s="20"/>
    </row>
    <row r="34" spans="1:14" ht="50" customHeight="1" x14ac:dyDescent="0.3">
      <c r="A34" s="21"/>
      <c r="B34" s="281" t="str">
        <f t="shared" si="0"/>
        <v>The more we personally relate to each other's needs, the better life can be for us all. I look forward to giving you opportunity to better relate to my needs.</v>
      </c>
      <c r="C34" s="281"/>
      <c r="D34" s="281"/>
      <c r="E34" s="281"/>
      <c r="F34" s="281"/>
      <c r="G34" s="281"/>
      <c r="H34" s="281"/>
      <c r="I34" s="281"/>
      <c r="J34" s="281"/>
      <c r="K34" s="281"/>
      <c r="L34" s="281"/>
      <c r="M34" s="281"/>
      <c r="N34" s="20"/>
    </row>
    <row r="35" spans="1:14" ht="50" customHeight="1" x14ac:dyDescent="0.3">
      <c r="A35" s="21"/>
      <c r="B35" s="281" t="str">
        <f t="shared" si="0"/>
        <v>Thank you for your feedback. I wish to make this experience as good for you as it is for me. Again, thank you.</v>
      </c>
      <c r="C35" s="281"/>
      <c r="D35" s="281"/>
      <c r="E35" s="281"/>
      <c r="F35" s="281"/>
      <c r="G35" s="281"/>
      <c r="H35" s="281"/>
      <c r="I35" s="281"/>
      <c r="J35" s="281"/>
      <c r="K35" s="281"/>
      <c r="L35" s="281"/>
      <c r="M35" s="281"/>
      <c r="N35" s="20"/>
    </row>
    <row r="36" spans="1:14" ht="10" customHeight="1" x14ac:dyDescent="0.3">
      <c r="A36" s="21"/>
      <c r="B36" s="131"/>
      <c r="C36" s="39"/>
      <c r="D36" s="39"/>
      <c r="E36" s="39"/>
      <c r="F36" s="39"/>
      <c r="G36" s="39"/>
      <c r="H36" s="39"/>
      <c r="I36" s="39"/>
      <c r="J36" s="39"/>
      <c r="K36" s="39"/>
      <c r="L36" s="39"/>
      <c r="M36" s="39"/>
      <c r="N36" s="20"/>
    </row>
    <row r="37" spans="1:14" ht="25" customHeight="1" x14ac:dyDescent="0.3">
      <c r="A37" s="21"/>
      <c r="B37" s="291" t="str">
        <f>C654</f>
        <v>SELECT AN INVITEE TO SEND THIS MESSAGE TO</v>
      </c>
      <c r="C37" s="292"/>
      <c r="D37" s="292"/>
      <c r="E37" s="292"/>
      <c r="F37" s="292"/>
      <c r="G37" s="292"/>
      <c r="H37" s="292"/>
      <c r="I37" s="292"/>
      <c r="J37" s="292"/>
      <c r="K37" s="292"/>
      <c r="L37" s="292"/>
      <c r="M37" s="292"/>
      <c r="N37" s="20"/>
    </row>
    <row r="38" spans="1:14" ht="10" customHeight="1" x14ac:dyDescent="0.3">
      <c r="A38" s="19"/>
      <c r="B38" s="130"/>
      <c r="C38" s="130"/>
      <c r="D38" s="130"/>
      <c r="E38" s="130"/>
      <c r="F38" s="130"/>
      <c r="G38" s="130"/>
      <c r="H38" s="130"/>
      <c r="I38" s="130"/>
      <c r="J38" s="130"/>
      <c r="K38" s="130"/>
      <c r="L38" s="130"/>
      <c r="M38" s="130"/>
      <c r="N38" s="16"/>
    </row>
    <row r="343" spans="2:13" s="2" customFormat="1" x14ac:dyDescent="0.3">
      <c r="B343" s="1"/>
      <c r="C343" s="1"/>
      <c r="D343" s="1"/>
      <c r="E343" s="1"/>
      <c r="F343" s="1"/>
      <c r="G343" s="1"/>
      <c r="H343" s="3"/>
      <c r="I343" s="1"/>
      <c r="J343" s="1"/>
      <c r="K343" s="1"/>
      <c r="L343" s="1"/>
      <c r="M343" s="1"/>
    </row>
    <row r="601" spans="3:12" hidden="1" x14ac:dyDescent="0.3">
      <c r="C601" s="4" t="str">
        <f>IF(F601=FALSE,F603,F601)</f>
        <v>RATE MY EFFORTS</v>
      </c>
      <c r="F601" s="142" t="str">
        <f>IF(D11=C603,F603,IF(D11=C604,F604,IF(D11=C605,F605,IF(D11=C606,F606,IF(D11=C607,F607,IF(D11=C608,F608,IF(D11="",F603)))))))</f>
        <v>RATE MY EFFORTS</v>
      </c>
    </row>
    <row r="602" spans="3:12" hidden="1" x14ac:dyDescent="0.3"/>
    <row r="603" spans="3:12" hidden="1" x14ac:dyDescent="0.3">
      <c r="C603" s="1" t="s">
        <v>275</v>
      </c>
      <c r="F603" s="1" t="s">
        <v>241</v>
      </c>
      <c r="L603" s="1" t="s">
        <v>308</v>
      </c>
    </row>
    <row r="604" spans="3:12" hidden="1" x14ac:dyDescent="0.3">
      <c r="C604" s="1" t="s">
        <v>276</v>
      </c>
      <c r="F604" s="1" t="s">
        <v>302</v>
      </c>
    </row>
    <row r="605" spans="3:12" hidden="1" x14ac:dyDescent="0.3">
      <c r="C605" s="1" t="s">
        <v>277</v>
      </c>
      <c r="F605" s="1" t="s">
        <v>303</v>
      </c>
    </row>
    <row r="606" spans="3:12" hidden="1" x14ac:dyDescent="0.3">
      <c r="C606" s="1" t="s">
        <v>278</v>
      </c>
      <c r="F606" s="1" t="s">
        <v>306</v>
      </c>
    </row>
    <row r="607" spans="3:12" hidden="1" x14ac:dyDescent="0.3">
      <c r="C607" s="1" t="s">
        <v>301</v>
      </c>
      <c r="F607" s="1" t="s">
        <v>305</v>
      </c>
    </row>
    <row r="608" spans="3:12" hidden="1" x14ac:dyDescent="0.3">
      <c r="C608" s="1" t="s">
        <v>307</v>
      </c>
      <c r="F608" s="1" t="s">
        <v>304</v>
      </c>
    </row>
    <row r="609" spans="2:5" hidden="1" x14ac:dyDescent="0.3"/>
    <row r="610" spans="2:5" hidden="1" x14ac:dyDescent="0.3"/>
    <row r="611" spans="2:5" hidden="1" x14ac:dyDescent="0.3"/>
    <row r="612" spans="2:5" hidden="1" x14ac:dyDescent="0.3"/>
    <row r="613" spans="2:5" hidden="1" x14ac:dyDescent="0.3">
      <c r="C613" s="4">
        <f>'full warmup'!E5</f>
        <v>0</v>
      </c>
    </row>
    <row r="614" spans="2:5" hidden="1" x14ac:dyDescent="0.3"/>
    <row r="615" spans="2:5" hidden="1" x14ac:dyDescent="0.3">
      <c r="B615" s="1">
        <v>1</v>
      </c>
      <c r="C615" s="1" t="str">
        <f>'full warmup'!C1077</f>
        <v/>
      </c>
      <c r="E615" s="1">
        <f>'full warmup'!C119</f>
        <v>0</v>
      </c>
    </row>
    <row r="616" spans="2:5" hidden="1" x14ac:dyDescent="0.3">
      <c r="B616" s="1">
        <v>2</v>
      </c>
      <c r="C616" s="1" t="str">
        <f>'full warmup'!C1078</f>
        <v/>
      </c>
      <c r="E616" s="1">
        <f>'full warmup'!C120</f>
        <v>0</v>
      </c>
    </row>
    <row r="617" spans="2:5" hidden="1" x14ac:dyDescent="0.3">
      <c r="B617" s="1">
        <v>3</v>
      </c>
      <c r="C617" s="1" t="str">
        <f>'full warmup'!C1079</f>
        <v/>
      </c>
      <c r="E617" s="1">
        <f>'full warmup'!C121</f>
        <v>0</v>
      </c>
    </row>
    <row r="618" spans="2:5" hidden="1" x14ac:dyDescent="0.3">
      <c r="B618" s="1">
        <v>4</v>
      </c>
      <c r="C618" s="1" t="str">
        <f>'full warmup'!C1080</f>
        <v/>
      </c>
      <c r="E618" s="1">
        <f>'full warmup'!C122</f>
        <v>0</v>
      </c>
    </row>
    <row r="619" spans="2:5" hidden="1" x14ac:dyDescent="0.3">
      <c r="B619" s="1">
        <v>5</v>
      </c>
      <c r="C619" s="1" t="str">
        <f>'full warmup'!C1081</f>
        <v/>
      </c>
      <c r="E619" s="1">
        <f>'full warmup'!C123</f>
        <v>0</v>
      </c>
    </row>
    <row r="620" spans="2:5" hidden="1" x14ac:dyDescent="0.3">
      <c r="B620" s="1">
        <v>6</v>
      </c>
      <c r="C620" s="1" t="str">
        <f>'full warmup'!C1082</f>
        <v/>
      </c>
      <c r="E620" s="1">
        <f>'full warmup'!C124</f>
        <v>0</v>
      </c>
    </row>
    <row r="621" spans="2:5" hidden="1" x14ac:dyDescent="0.3">
      <c r="B621" s="1">
        <v>7</v>
      </c>
      <c r="C621" s="1" t="str">
        <f>'full warmup'!C1083</f>
        <v/>
      </c>
      <c r="E621" s="1">
        <f>'full warmup'!C125</f>
        <v>0</v>
      </c>
    </row>
    <row r="622" spans="2:5" hidden="1" x14ac:dyDescent="0.3">
      <c r="B622" s="1">
        <v>8</v>
      </c>
      <c r="C622" s="1" t="str">
        <f>'full warmup'!C1084</f>
        <v/>
      </c>
      <c r="E622" s="1">
        <f>'full warmup'!C126</f>
        <v>0</v>
      </c>
    </row>
    <row r="623" spans="2:5" hidden="1" x14ac:dyDescent="0.3">
      <c r="B623" s="1">
        <v>9</v>
      </c>
      <c r="C623" s="1" t="str">
        <f>'full warmup'!C1085</f>
        <v/>
      </c>
      <c r="E623" s="1">
        <f>'full warmup'!C127</f>
        <v>0</v>
      </c>
    </row>
    <row r="624" spans="2:5" hidden="1" x14ac:dyDescent="0.3">
      <c r="B624" s="1">
        <v>10</v>
      </c>
      <c r="C624" s="1" t="str">
        <f>'full warmup'!C1086</f>
        <v/>
      </c>
      <c r="E624" s="1">
        <f>'full warmup'!C128</f>
        <v>0</v>
      </c>
    </row>
    <row r="625" spans="2:10" hidden="1" x14ac:dyDescent="0.3">
      <c r="B625" s="1">
        <v>11</v>
      </c>
      <c r="C625" s="1" t="str">
        <f>'full warmup'!C1087</f>
        <v/>
      </c>
      <c r="E625" s="1">
        <f>'full warmup'!C129</f>
        <v>0</v>
      </c>
    </row>
    <row r="626" spans="2:10" hidden="1" x14ac:dyDescent="0.3">
      <c r="B626" s="1">
        <v>12</v>
      </c>
      <c r="C626" s="1" t="str">
        <f>'full warmup'!C1088</f>
        <v/>
      </c>
      <c r="E626" s="1">
        <f>'full warmup'!C130</f>
        <v>0</v>
      </c>
    </row>
    <row r="627" spans="2:10" hidden="1" x14ac:dyDescent="0.3">
      <c r="B627" s="1">
        <v>13</v>
      </c>
      <c r="C627" s="1" t="str">
        <f>'full warmup'!C1089</f>
        <v/>
      </c>
      <c r="E627" s="1">
        <f>'full warmup'!C131</f>
        <v>0</v>
      </c>
    </row>
    <row r="628" spans="2:10" hidden="1" x14ac:dyDescent="0.3">
      <c r="B628" s="1">
        <v>14</v>
      </c>
      <c r="C628" s="1" t="str">
        <f>'full warmup'!C1090</f>
        <v/>
      </c>
      <c r="E628" s="1">
        <f>'full warmup'!C132</f>
        <v>0</v>
      </c>
    </row>
    <row r="629" spans="2:10" hidden="1" x14ac:dyDescent="0.3">
      <c r="B629" s="1">
        <v>15</v>
      </c>
      <c r="C629" s="1" t="str">
        <f>'full warmup'!C1091</f>
        <v/>
      </c>
      <c r="E629" s="1">
        <f>'full warmup'!C133</f>
        <v>0</v>
      </c>
    </row>
    <row r="630" spans="2:10" hidden="1" x14ac:dyDescent="0.3">
      <c r="B630" s="1">
        <v>16</v>
      </c>
      <c r="C630" s="1" t="str">
        <f>'full warmup'!C1092</f>
        <v/>
      </c>
      <c r="E630" s="1">
        <f>'full warmup'!C134</f>
        <v>0</v>
      </c>
    </row>
    <row r="631" spans="2:10" hidden="1" x14ac:dyDescent="0.3">
      <c r="B631" s="1">
        <v>17</v>
      </c>
      <c r="C631" s="1" t="str">
        <f>'full warmup'!C1093</f>
        <v/>
      </c>
      <c r="E631" s="1">
        <f>'full warmup'!C135</f>
        <v>0</v>
      </c>
    </row>
    <row r="632" spans="2:10" hidden="1" x14ac:dyDescent="0.3">
      <c r="B632" s="1">
        <v>18</v>
      </c>
      <c r="C632" s="1" t="str">
        <f>'full warmup'!C1094</f>
        <v/>
      </c>
      <c r="E632" s="1">
        <f>'full warmup'!C136</f>
        <v>0</v>
      </c>
    </row>
    <row r="633" spans="2:10" hidden="1" x14ac:dyDescent="0.3">
      <c r="B633" s="1">
        <v>19</v>
      </c>
      <c r="C633" s="1" t="str">
        <f>'full warmup'!C1095</f>
        <v/>
      </c>
      <c r="E633" s="1">
        <f>'full warmup'!C137</f>
        <v>0</v>
      </c>
    </row>
    <row r="634" spans="2:10" hidden="1" x14ac:dyDescent="0.3">
      <c r="B634" s="1">
        <v>20</v>
      </c>
      <c r="C634" s="1" t="str">
        <f>'full warmup'!C1096</f>
        <v/>
      </c>
      <c r="E634" s="1">
        <f>'full warmup'!C138</f>
        <v>0</v>
      </c>
    </row>
    <row r="635" spans="2:10" hidden="1" x14ac:dyDescent="0.3">
      <c r="E635" s="136">
        <f>IF($D$9=$C615,E615,IF($D$9=$C616,E616,IF($D$9=$C617,E617,IF($D$9=$C618,E618,IF($D$9=$C619,E619,IF($D$9=$C620,E620,IF($D$9=$C621,E621,IF($D$9=$C622,E622,IF($D$9=$C623,E623,IF($D$9=$C624,E624,IF($D$9=$C625,E625,IF($D$9=$C626,E626,IF($D$9=$C627,E627,IF($D$9=$C628,E628,IF($D$9=$C629,E629,IF($D$9=$C630,E630,IF($D$9=$C631,E631,IF($D$9=$C632,E632,IF($D$9=$C633,E633,IF($D$9=$C634,E634,IF($D$9="","")))))))))))))))))))))</f>
        <v>0</v>
      </c>
      <c r="H635" s="90">
        <f>D9</f>
        <v>0</v>
      </c>
    </row>
    <row r="636" spans="2:10" hidden="1" x14ac:dyDescent="0.3">
      <c r="H636" s="1"/>
    </row>
    <row r="637" spans="2:10" hidden="1" x14ac:dyDescent="0.3">
      <c r="H637" s="1"/>
    </row>
    <row r="638" spans="2:10" hidden="1" x14ac:dyDescent="0.3">
      <c r="C638" s="4" t="str">
        <f>IF($D$9="",E638,F638)</f>
        <v>Thank you for expressing a need I could serve. Now I invite you to hold me accountable by telling me how well I satisfied your shared need.</v>
      </c>
      <c r="D638" s="6" t="s">
        <v>3</v>
      </c>
      <c r="E638" s="10" t="s">
        <v>283</v>
      </c>
      <c r="F638" s="1" t="str">
        <f>CONCATENATE(H638,I638,J638,K638,L638,M638)</f>
        <v>Thank you, 0, for expressing a need I could serve. Now I invite you to hold me accountable by telling me how well I satisfied your shared need.</v>
      </c>
      <c r="G638" s="6" t="s">
        <v>3</v>
      </c>
      <c r="H638" s="1" t="s">
        <v>164</v>
      </c>
      <c r="I638" s="1">
        <f>$E$635</f>
        <v>0</v>
      </c>
      <c r="J638" s="1" t="s">
        <v>284</v>
      </c>
    </row>
    <row r="639" spans="2:10" hidden="1" x14ac:dyDescent="0.3"/>
    <row r="640" spans="2:10" hidden="1" x14ac:dyDescent="0.3"/>
    <row r="641" spans="3:10" hidden="1" x14ac:dyDescent="0.3">
      <c r="C641" s="4" t="str">
        <f>IF($D$9="",E641,F641)</f>
        <v>If you could also let me know how meaningful this need is or was for you. Please note the level of urgency this need had for you.</v>
      </c>
      <c r="D641" s="6" t="s">
        <v>3</v>
      </c>
      <c r="E641" s="10" t="str">
        <f>CONCATENATE(G641,H641,I641,J641,K641,L641)</f>
        <v>If you could also let me know how meaningful this need is or was for you. Please note the level of urgency this need had for you.</v>
      </c>
      <c r="F641" s="1" t="str">
        <f>CONCATENATE(H641,I641,J641,K641,L641,M641)</f>
        <v>If you could also let me know how meaningful this need is or was for you. Please note the level of urgency this need had for you.</v>
      </c>
      <c r="H641" s="3" t="s">
        <v>280</v>
      </c>
    </row>
    <row r="642" spans="3:10" hidden="1" x14ac:dyDescent="0.3"/>
    <row r="643" spans="3:10" hidden="1" x14ac:dyDescent="0.3"/>
    <row r="644" spans="3:10" hidden="1" x14ac:dyDescent="0.3">
      <c r="C644" s="4" t="str">
        <f>IF($D$9="",E644,F644)</f>
        <v>If I do not hear back from you soon, I will assess for myself how satisfied you seemed to be with my efforts. And how apparently urgent this need seemed to be for you.</v>
      </c>
      <c r="D644" s="6" t="s">
        <v>3</v>
      </c>
      <c r="E644" s="10" t="s">
        <v>281</v>
      </c>
      <c r="F644" s="1" t="s">
        <v>281</v>
      </c>
    </row>
    <row r="645" spans="3:10" hidden="1" x14ac:dyDescent="0.3">
      <c r="C645" s="4" t="str">
        <f>IF($D$9="",E645,F645)</f>
        <v>By letting me help you, you are helping me to become more need-responsive. I learn to rely less on impersonal rules and personally engage others what they need of me.</v>
      </c>
      <c r="D645" s="6" t="s">
        <v>3</v>
      </c>
      <c r="E645" s="10" t="s">
        <v>279</v>
      </c>
      <c r="F645" s="1" t="s">
        <v>279</v>
      </c>
    </row>
    <row r="646" spans="3:10" hidden="1" x14ac:dyDescent="0.3">
      <c r="C646" s="4" t="str">
        <f>IF($D$9="",E646,F646)</f>
        <v>The more we personally relate to each other's needs, the better life can be for us all. I look forward to giving you opportunity to better relate to my needs.</v>
      </c>
      <c r="D646" s="6" t="s">
        <v>3</v>
      </c>
      <c r="E646" s="10" t="s">
        <v>282</v>
      </c>
      <c r="F646" s="1" t="s">
        <v>282</v>
      </c>
    </row>
    <row r="647" spans="3:10" hidden="1" x14ac:dyDescent="0.3">
      <c r="C647" s="4" t="str">
        <f>IF($D$9="",E647,F647)</f>
        <v>Thank you for your feedback. I wish to make this experience as good for you as it is for me. Again, thank you.</v>
      </c>
      <c r="D647" s="6" t="s">
        <v>3</v>
      </c>
      <c r="E647" s="10" t="s">
        <v>285</v>
      </c>
      <c r="F647" s="1" t="str">
        <f>CONCATENATE(H647,I647,J647,K647,L647,M647)</f>
        <v>Thank you, 0, for your feedback. I wish to make this experience as good for you as it is for me. And I look forward to hearing back from you soon. Again, thank you.</v>
      </c>
      <c r="G647" s="6" t="s">
        <v>3</v>
      </c>
      <c r="H647" s="1" t="s">
        <v>164</v>
      </c>
      <c r="I647" s="1">
        <f>$E$635</f>
        <v>0</v>
      </c>
      <c r="J647" s="1" t="s">
        <v>300</v>
      </c>
    </row>
    <row r="648" spans="3:10" hidden="1" x14ac:dyDescent="0.3"/>
    <row r="649" spans="3:10" hidden="1" x14ac:dyDescent="0.3"/>
    <row r="650" spans="3:10" hidden="1" x14ac:dyDescent="0.3"/>
    <row r="651" spans="3:10" hidden="1" x14ac:dyDescent="0.3"/>
    <row r="652" spans="3:10" hidden="1" x14ac:dyDescent="0.3">
      <c r="C652" s="1" t="s">
        <v>299</v>
      </c>
      <c r="G652" s="1" t="s">
        <v>286</v>
      </c>
    </row>
    <row r="653" spans="3:10" hidden="1" x14ac:dyDescent="0.3"/>
    <row r="654" spans="3:10" hidden="1" x14ac:dyDescent="0.3">
      <c r="C654" s="5" t="str">
        <f>IF(D9="",G652,C652)</f>
        <v>SELECT AN INVITEE TO SEND THIS MESSAGE TO</v>
      </c>
    </row>
    <row r="655" spans="3:10" hidden="1" x14ac:dyDescent="0.3"/>
    <row r="656" spans="3:10"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sheetData>
  <mergeCells count="20">
    <mergeCell ref="D14:M14"/>
    <mergeCell ref="B37:M37"/>
    <mergeCell ref="B24:M24"/>
    <mergeCell ref="B32:M32"/>
    <mergeCell ref="B33:M33"/>
    <mergeCell ref="B34:M34"/>
    <mergeCell ref="B35:M35"/>
    <mergeCell ref="B16:M16"/>
    <mergeCell ref="B19:M19"/>
    <mergeCell ref="B21:M21"/>
    <mergeCell ref="C27:M27"/>
    <mergeCell ref="D13:M13"/>
    <mergeCell ref="D12:M12"/>
    <mergeCell ref="D10:M10"/>
    <mergeCell ref="D8:M8"/>
    <mergeCell ref="B2:M2"/>
    <mergeCell ref="B4:M4"/>
    <mergeCell ref="D7:M7"/>
    <mergeCell ref="D9:M9"/>
    <mergeCell ref="D11:M11"/>
  </mergeCells>
  <dataValidations count="1">
    <dataValidation type="list" errorStyle="information" allowBlank="1" showInputMessage="1" showErrorMessage="1" error="Pick one of these titles or draft your own" sqref="D11:M11" xr:uid="{1CA7CA05-D6EA-4FA2-95A0-B0920674BAA3}">
      <formula1>$C$603:$C$608</formula1>
    </dataValidation>
  </dataValidations>
  <hyperlinks>
    <hyperlink ref="B2:M2" location="'full warmup'!H696:M698" tooltip="back to Message Templates" display="'full warmup'!H696:M698" xr:uid="{4014E854-6ED3-4D24-A74B-BEB874DF8352}"/>
    <hyperlink ref="D7:M7" location="'full warmup'!E5" tooltip="Click to go the field where you first enter your name" display="'full warmup'!E5" xr:uid="{B0883C13-BBD7-493D-9ACA-3F3A8FE47B31}"/>
  </hyperlinks>
  <printOptions horizontalCentered="1"/>
  <pageMargins left="0.5" right="0.5" top="0.75" bottom="0.75" header="0.3" footer="0.3"/>
  <pageSetup orientation="portrait" r:id="rId1"/>
  <headerFooter>
    <oddHeader>&amp;C&amp;"Arial Black,Regular"&amp;14&amp;K009641Anankelogy&amp;K004623 &amp;K7030A0Foundation</oddHeader>
    <oddFooter>&amp;C&amp;D</oddFooter>
  </headerFooter>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a name from the dropdown list" xr:uid="{439B9023-68E4-40C0-B3C2-862A74F84E08}">
          <x14:formula1>
            <xm:f>'full warmup'!$C$1077:$C$1096</xm:f>
          </x14:formula1>
          <xm:sqref>D9:L9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71CD-3166-4C41-A6AE-6B952BFC4F52}">
  <dimension ref="A1:N700"/>
  <sheetViews>
    <sheetView zoomScaleNormal="100" zoomScaleSheetLayoutView="100" workbookViewId="0">
      <selection activeCell="N3" sqref="A1:N3"/>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14" ht="10" customHeight="1" thickBot="1" x14ac:dyDescent="0.35">
      <c r="A1" s="96"/>
      <c r="B1" s="99"/>
      <c r="C1" s="97"/>
      <c r="D1" s="97"/>
      <c r="E1" s="97"/>
      <c r="F1" s="97"/>
      <c r="G1" s="97"/>
      <c r="H1" s="97"/>
      <c r="I1" s="97"/>
      <c r="J1" s="97"/>
      <c r="K1" s="97"/>
      <c r="L1" s="97"/>
      <c r="M1" s="97"/>
      <c r="N1" s="98"/>
    </row>
    <row r="2" spans="1:14" ht="45" customHeight="1" thickTop="1" thickBot="1" x14ac:dyDescent="0.35">
      <c r="A2" s="47"/>
      <c r="B2" s="293" t="s">
        <v>221</v>
      </c>
      <c r="C2" s="294"/>
      <c r="D2" s="294"/>
      <c r="E2" s="294"/>
      <c r="F2" s="294"/>
      <c r="G2" s="294"/>
      <c r="H2" s="294"/>
      <c r="I2" s="294"/>
      <c r="J2" s="294"/>
      <c r="K2" s="294"/>
      <c r="L2" s="294"/>
      <c r="M2" s="295"/>
      <c r="N2" s="48"/>
    </row>
    <row r="3" spans="1:14" ht="10" customHeight="1" thickTop="1" x14ac:dyDescent="0.3">
      <c r="A3" s="47"/>
      <c r="B3" s="73"/>
      <c r="C3" s="74"/>
      <c r="D3" s="74"/>
      <c r="E3" s="74"/>
      <c r="F3" s="74"/>
      <c r="G3" s="74"/>
      <c r="H3" s="74"/>
      <c r="I3" s="74"/>
      <c r="J3" s="74"/>
      <c r="K3" s="74"/>
      <c r="L3" s="74"/>
      <c r="M3" s="74"/>
      <c r="N3" s="48"/>
    </row>
    <row r="4" spans="1:14" ht="15" customHeight="1" x14ac:dyDescent="0.3">
      <c r="A4" s="126"/>
      <c r="B4" s="285"/>
      <c r="C4" s="285"/>
      <c r="D4" s="285"/>
      <c r="E4" s="285"/>
      <c r="F4" s="285"/>
      <c r="G4" s="285"/>
      <c r="H4" s="285"/>
      <c r="I4" s="285"/>
      <c r="J4" s="285"/>
      <c r="K4" s="285"/>
      <c r="L4" s="285"/>
      <c r="M4" s="285"/>
      <c r="N4" s="127"/>
    </row>
    <row r="5" spans="1:14" ht="15" customHeight="1" x14ac:dyDescent="0.3">
      <c r="A5" s="21"/>
      <c r="B5" s="88"/>
      <c r="C5" s="88"/>
      <c r="D5" s="88"/>
      <c r="E5" s="88"/>
      <c r="F5" s="88"/>
      <c r="G5" s="88"/>
      <c r="H5" s="88"/>
      <c r="I5" s="88"/>
      <c r="J5" s="88"/>
      <c r="K5" s="88"/>
      <c r="L5" s="88"/>
      <c r="M5" s="88"/>
      <c r="N5" s="20"/>
    </row>
    <row r="6" spans="1:14" ht="5" customHeight="1" x14ac:dyDescent="0.3">
      <c r="A6" s="21"/>
      <c r="B6" s="88"/>
      <c r="C6" s="88"/>
      <c r="D6" s="88"/>
      <c r="E6" s="88"/>
      <c r="F6" s="88"/>
      <c r="G6" s="88"/>
      <c r="H6" s="88"/>
      <c r="I6" s="88"/>
      <c r="J6" s="88"/>
      <c r="K6" s="88"/>
      <c r="L6" s="88"/>
      <c r="M6" s="88"/>
      <c r="N6" s="20"/>
    </row>
    <row r="7" spans="1:14" ht="20" customHeight="1" x14ac:dyDescent="0.3">
      <c r="A7" s="21"/>
      <c r="B7" s="88"/>
      <c r="C7" s="128" t="s">
        <v>223</v>
      </c>
      <c r="D7" s="286" t="str">
        <f>IF(C601=0,"",C601)</f>
        <v/>
      </c>
      <c r="E7" s="286"/>
      <c r="F7" s="286"/>
      <c r="G7" s="286"/>
      <c r="H7" s="286"/>
      <c r="I7" s="286"/>
      <c r="J7" s="286"/>
      <c r="K7" s="286"/>
      <c r="L7" s="286"/>
      <c r="M7" s="286"/>
      <c r="N7" s="20"/>
    </row>
    <row r="8" spans="1:14" ht="5" customHeight="1" x14ac:dyDescent="0.3">
      <c r="A8" s="21"/>
      <c r="B8" s="88"/>
      <c r="C8" s="129"/>
      <c r="D8" s="288"/>
      <c r="E8" s="288"/>
      <c r="F8" s="288"/>
      <c r="G8" s="288"/>
      <c r="H8" s="288"/>
      <c r="I8" s="288"/>
      <c r="J8" s="288"/>
      <c r="K8" s="288"/>
      <c r="L8" s="288"/>
      <c r="M8" s="288"/>
      <c r="N8" s="20"/>
    </row>
    <row r="9" spans="1:14" ht="20" customHeight="1" x14ac:dyDescent="0.3">
      <c r="A9" s="21"/>
      <c r="B9" s="88"/>
      <c r="C9" s="128" t="s">
        <v>224</v>
      </c>
      <c r="D9" s="286"/>
      <c r="E9" s="286"/>
      <c r="F9" s="286"/>
      <c r="G9" s="286"/>
      <c r="H9" s="286"/>
      <c r="I9" s="286"/>
      <c r="J9" s="286"/>
      <c r="K9" s="286"/>
      <c r="L9" s="286"/>
      <c r="M9" s="286"/>
      <c r="N9" s="20"/>
    </row>
    <row r="10" spans="1:14" ht="5" customHeight="1" x14ac:dyDescent="0.3">
      <c r="A10" s="21"/>
      <c r="B10" s="88"/>
      <c r="C10" s="129"/>
      <c r="D10" s="288"/>
      <c r="E10" s="288"/>
      <c r="F10" s="288"/>
      <c r="G10" s="288"/>
      <c r="H10" s="288"/>
      <c r="I10" s="288"/>
      <c r="J10" s="288"/>
      <c r="K10" s="288"/>
      <c r="L10" s="288"/>
      <c r="M10" s="288"/>
      <c r="N10" s="20"/>
    </row>
    <row r="11" spans="1:14" ht="20" customHeight="1" x14ac:dyDescent="0.3">
      <c r="A11" s="21"/>
      <c r="B11" s="88"/>
      <c r="C11" s="128" t="s">
        <v>225</v>
      </c>
      <c r="D11" s="286" t="s">
        <v>232</v>
      </c>
      <c r="E11" s="286"/>
      <c r="F11" s="286"/>
      <c r="G11" s="286"/>
      <c r="H11" s="286"/>
      <c r="I11" s="286"/>
      <c r="J11" s="286"/>
      <c r="K11" s="286"/>
      <c r="L11" s="286"/>
      <c r="M11" s="286"/>
      <c r="N11" s="20"/>
    </row>
    <row r="12" spans="1:14" ht="5" customHeight="1" x14ac:dyDescent="0.3">
      <c r="A12" s="21"/>
      <c r="B12" s="88"/>
      <c r="C12" s="129"/>
      <c r="D12" s="288"/>
      <c r="E12" s="288"/>
      <c r="F12" s="288"/>
      <c r="G12" s="288"/>
      <c r="H12" s="288"/>
      <c r="I12" s="288"/>
      <c r="J12" s="288"/>
      <c r="K12" s="288"/>
      <c r="L12" s="288"/>
      <c r="M12" s="288"/>
      <c r="N12" s="20"/>
    </row>
    <row r="13" spans="1:14" ht="20" customHeight="1" x14ac:dyDescent="0.3">
      <c r="A13" s="21"/>
      <c r="B13" s="88"/>
      <c r="C13" s="128" t="s">
        <v>222</v>
      </c>
      <c r="D13" s="287">
        <f ca="1">TODAY()</f>
        <v>45274</v>
      </c>
      <c r="E13" s="287"/>
      <c r="F13" s="287"/>
      <c r="G13" s="287"/>
      <c r="H13" s="287"/>
      <c r="I13" s="287"/>
      <c r="J13" s="287"/>
      <c r="K13" s="287"/>
      <c r="L13" s="287"/>
      <c r="M13" s="287"/>
      <c r="N13" s="20"/>
    </row>
    <row r="14" spans="1:14" ht="5" customHeight="1" x14ac:dyDescent="0.3">
      <c r="A14" s="21"/>
      <c r="B14" s="88"/>
      <c r="C14" s="88"/>
      <c r="D14" s="289"/>
      <c r="E14" s="289"/>
      <c r="F14" s="289"/>
      <c r="G14" s="289"/>
      <c r="H14" s="289"/>
      <c r="I14" s="289"/>
      <c r="J14" s="289"/>
      <c r="K14" s="289"/>
      <c r="L14" s="289"/>
      <c r="M14" s="289"/>
      <c r="N14" s="20"/>
    </row>
    <row r="15" spans="1:14" ht="20" customHeight="1" x14ac:dyDescent="0.3">
      <c r="A15" s="21"/>
      <c r="B15" s="88"/>
      <c r="C15" s="88"/>
      <c r="D15" s="88"/>
      <c r="E15" s="88"/>
      <c r="F15" s="88"/>
      <c r="G15" s="88"/>
      <c r="H15" s="88"/>
      <c r="I15" s="88"/>
      <c r="J15" s="88"/>
      <c r="K15" s="88"/>
      <c r="L15" s="88"/>
      <c r="M15" s="88"/>
      <c r="N15" s="20"/>
    </row>
    <row r="16" spans="1:14" ht="90" customHeight="1" x14ac:dyDescent="0.3">
      <c r="A16" s="21"/>
      <c r="B16" s="281" t="str">
        <f>H624</f>
        <v>Thank you for …</v>
      </c>
      <c r="C16" s="281"/>
      <c r="D16" s="281"/>
      <c r="E16" s="281"/>
      <c r="F16" s="281"/>
      <c r="G16" s="281"/>
      <c r="H16" s="281"/>
      <c r="I16" s="281"/>
      <c r="J16" s="281"/>
      <c r="K16" s="281"/>
      <c r="L16" s="281"/>
      <c r="M16" s="281"/>
      <c r="N16" s="20"/>
    </row>
    <row r="17" spans="1:14" ht="5" customHeight="1" x14ac:dyDescent="0.3">
      <c r="A17" s="21"/>
      <c r="B17" s="88"/>
      <c r="C17" s="88"/>
      <c r="D17" s="88"/>
      <c r="E17" s="88"/>
      <c r="F17" s="88"/>
      <c r="G17" s="88"/>
      <c r="H17" s="88"/>
      <c r="I17" s="88"/>
      <c r="J17" s="88"/>
      <c r="K17" s="88"/>
      <c r="L17" s="88"/>
      <c r="M17" s="88"/>
      <c r="N17" s="20"/>
    </row>
    <row r="18" spans="1:14" ht="90" customHeight="1" x14ac:dyDescent="0.3">
      <c r="A18" s="21"/>
      <c r="B18" s="281" t="str">
        <f>H625</f>
        <v>I need you to ...</v>
      </c>
      <c r="C18" s="281"/>
      <c r="D18" s="281"/>
      <c r="E18" s="281"/>
      <c r="F18" s="281"/>
      <c r="G18" s="281"/>
      <c r="H18" s="281"/>
      <c r="I18" s="281"/>
      <c r="J18" s="281"/>
      <c r="K18" s="281"/>
      <c r="L18" s="281"/>
      <c r="M18" s="281"/>
      <c r="N18" s="20"/>
    </row>
    <row r="19" spans="1:14" ht="5" customHeight="1" x14ac:dyDescent="0.3">
      <c r="A19" s="21"/>
      <c r="B19" s="88"/>
      <c r="C19" s="88"/>
      <c r="D19" s="88"/>
      <c r="E19" s="88"/>
      <c r="F19" s="88"/>
      <c r="G19" s="88"/>
      <c r="H19" s="88"/>
      <c r="I19" s="88"/>
      <c r="J19" s="88"/>
      <c r="K19" s="88"/>
      <c r="L19" s="88"/>
      <c r="M19" s="88"/>
      <c r="N19" s="20"/>
    </row>
    <row r="20" spans="1:14" ht="90" customHeight="1" x14ac:dyDescent="0.3">
      <c r="A20" s="21"/>
      <c r="B20" s="281" t="str">
        <f>H626</f>
        <v>Let's continue to …</v>
      </c>
      <c r="C20" s="281"/>
      <c r="D20" s="281"/>
      <c r="E20" s="281"/>
      <c r="F20" s="281"/>
      <c r="G20" s="281"/>
      <c r="H20" s="281"/>
      <c r="I20" s="281"/>
      <c r="J20" s="281"/>
      <c r="K20" s="281"/>
      <c r="L20" s="281"/>
      <c r="M20" s="281"/>
      <c r="N20" s="20"/>
    </row>
    <row r="21" spans="1:14" ht="10" customHeight="1" x14ac:dyDescent="0.3">
      <c r="A21" s="21"/>
      <c r="B21" s="88"/>
      <c r="C21" s="88"/>
      <c r="D21" s="88"/>
      <c r="E21" s="88"/>
      <c r="F21" s="88"/>
      <c r="G21" s="88"/>
      <c r="H21" s="88"/>
      <c r="I21" s="88"/>
      <c r="J21" s="88"/>
      <c r="K21" s="88"/>
      <c r="L21" s="88"/>
      <c r="M21" s="88"/>
      <c r="N21" s="20"/>
    </row>
    <row r="22" spans="1:14" ht="40" customHeight="1" x14ac:dyDescent="0.3">
      <c r="A22" s="21"/>
      <c r="B22" s="132" t="str">
        <f>IF($D$9="","",B630)</f>
        <v/>
      </c>
      <c r="C22" s="88"/>
      <c r="D22" s="88"/>
      <c r="E22" s="88"/>
      <c r="F22" s="88"/>
      <c r="G22" s="88"/>
      <c r="H22" s="88"/>
      <c r="I22" s="88"/>
      <c r="J22" s="88"/>
      <c r="K22" s="88"/>
      <c r="L22" s="88"/>
      <c r="M22" s="88"/>
      <c r="N22" s="20"/>
    </row>
    <row r="23" spans="1:14" ht="50" customHeight="1" x14ac:dyDescent="0.3">
      <c r="A23" s="21"/>
      <c r="B23" s="134" t="str">
        <f>IF($D$9="","",B631)</f>
        <v/>
      </c>
      <c r="C23" s="226" t="str">
        <f>IF($D$9="","",C631)</f>
        <v/>
      </c>
      <c r="D23" s="226"/>
      <c r="E23" s="226"/>
      <c r="F23" s="226"/>
      <c r="G23" s="226"/>
      <c r="H23" s="226"/>
      <c r="I23" s="226"/>
      <c r="J23" s="226"/>
      <c r="K23" s="226"/>
      <c r="L23" s="226"/>
      <c r="M23" s="226"/>
      <c r="N23" s="20"/>
    </row>
    <row r="24" spans="1:14" ht="50" customHeight="1" x14ac:dyDescent="0.3">
      <c r="A24" s="21"/>
      <c r="B24" s="134" t="str">
        <f t="shared" ref="B24:C25" si="0">IF($D$9="","",B632)</f>
        <v/>
      </c>
      <c r="C24" s="226" t="str">
        <f t="shared" si="0"/>
        <v/>
      </c>
      <c r="D24" s="226"/>
      <c r="E24" s="226"/>
      <c r="F24" s="226"/>
      <c r="G24" s="226"/>
      <c r="H24" s="226"/>
      <c r="I24" s="226"/>
      <c r="J24" s="226"/>
      <c r="K24" s="226"/>
      <c r="L24" s="226"/>
      <c r="M24" s="226"/>
      <c r="N24" s="20"/>
    </row>
    <row r="25" spans="1:14" ht="50" customHeight="1" x14ac:dyDescent="0.3">
      <c r="A25" s="21"/>
      <c r="B25" s="134" t="str">
        <f t="shared" si="0"/>
        <v/>
      </c>
      <c r="C25" s="226" t="str">
        <f t="shared" si="0"/>
        <v/>
      </c>
      <c r="D25" s="226"/>
      <c r="E25" s="226"/>
      <c r="F25" s="226"/>
      <c r="G25" s="226"/>
      <c r="H25" s="226"/>
      <c r="I25" s="226"/>
      <c r="J25" s="226"/>
      <c r="K25" s="226"/>
      <c r="L25" s="226"/>
      <c r="M25" s="226"/>
      <c r="N25" s="20"/>
    </row>
    <row r="26" spans="1:14" ht="10" customHeight="1" x14ac:dyDescent="0.3">
      <c r="A26" s="21"/>
      <c r="B26" s="131"/>
      <c r="C26" s="39"/>
      <c r="D26" s="39"/>
      <c r="E26" s="39"/>
      <c r="F26" s="39"/>
      <c r="G26" s="39"/>
      <c r="H26" s="39"/>
      <c r="I26" s="39"/>
      <c r="J26" s="39"/>
      <c r="K26" s="39"/>
      <c r="L26" s="39"/>
      <c r="M26" s="39"/>
      <c r="N26" s="20"/>
    </row>
    <row r="27" spans="1:14" ht="25" customHeight="1" x14ac:dyDescent="0.3">
      <c r="A27" s="21"/>
      <c r="B27" s="290" t="str">
        <f>IF(D11="",G637,C637)</f>
        <v>Together, we can spread more love of mutual respect!</v>
      </c>
      <c r="C27" s="290"/>
      <c r="D27" s="290"/>
      <c r="E27" s="290"/>
      <c r="F27" s="290"/>
      <c r="G27" s="290"/>
      <c r="H27" s="290"/>
      <c r="I27" s="290"/>
      <c r="J27" s="290"/>
      <c r="K27" s="290"/>
      <c r="L27" s="290"/>
      <c r="M27" s="290"/>
      <c r="N27" s="20"/>
    </row>
    <row r="28" spans="1:14" ht="10" customHeight="1" x14ac:dyDescent="0.3">
      <c r="A28" s="19"/>
      <c r="B28" s="130"/>
      <c r="C28" s="130"/>
      <c r="D28" s="130"/>
      <c r="E28" s="130"/>
      <c r="F28" s="130"/>
      <c r="G28" s="130"/>
      <c r="H28" s="130"/>
      <c r="I28" s="130"/>
      <c r="J28" s="130"/>
      <c r="K28" s="130"/>
      <c r="L28" s="130"/>
      <c r="M28" s="130"/>
      <c r="N28" s="16"/>
    </row>
    <row r="333" spans="2:13" s="2" customFormat="1" x14ac:dyDescent="0.3">
      <c r="B333" s="1"/>
      <c r="C333" s="1"/>
      <c r="D333" s="1"/>
      <c r="E333" s="1"/>
      <c r="F333" s="1"/>
      <c r="G333" s="1"/>
      <c r="H333" s="3"/>
      <c r="I333" s="1"/>
      <c r="J333" s="1"/>
      <c r="K333" s="1"/>
      <c r="L333" s="1"/>
      <c r="M333" s="1"/>
    </row>
    <row r="601" spans="2:10" hidden="1" x14ac:dyDescent="0.3">
      <c r="C601" s="4">
        <f>'full warmup'!E5</f>
        <v>0</v>
      </c>
    </row>
    <row r="602" spans="2:10" hidden="1" x14ac:dyDescent="0.3">
      <c r="H602" s="125" t="s">
        <v>227</v>
      </c>
      <c r="I602" s="125" t="s">
        <v>226</v>
      </c>
      <c r="J602" s="125" t="s">
        <v>228</v>
      </c>
    </row>
    <row r="603" spans="2:10" hidden="1" x14ac:dyDescent="0.3">
      <c r="B603" s="1">
        <v>1</v>
      </c>
      <c r="C603" s="1" t="str">
        <f>'full warmup'!C1077</f>
        <v/>
      </c>
      <c r="H603" s="124" t="str">
        <f>'full warmup'!F158</f>
        <v>Thank you for …</v>
      </c>
      <c r="I603" s="92" t="str">
        <f>'full warmup'!F159</f>
        <v>I need you to ...</v>
      </c>
      <c r="J603" s="92" t="str">
        <f>'full warmup'!F160</f>
        <v>Let's continue to …</v>
      </c>
    </row>
    <row r="604" spans="2:10" hidden="1" x14ac:dyDescent="0.3">
      <c r="B604" s="1">
        <v>2</v>
      </c>
      <c r="C604" s="1" t="str">
        <f>'full warmup'!C1078</f>
        <v/>
      </c>
      <c r="H604" s="124" t="str">
        <f>'full warmup'!F182</f>
        <v>Thank you for …</v>
      </c>
      <c r="I604" s="92" t="str">
        <f>'full warmup'!F183</f>
        <v>I need you to ...</v>
      </c>
      <c r="J604" s="92" t="str">
        <f>'full warmup'!F184</f>
        <v>Let's continue to …</v>
      </c>
    </row>
    <row r="605" spans="2:10" hidden="1" x14ac:dyDescent="0.3">
      <c r="B605" s="1">
        <v>3</v>
      </c>
      <c r="C605" s="1" t="str">
        <f>'full warmup'!C1079</f>
        <v/>
      </c>
      <c r="H605" s="124" t="str">
        <f>'full warmup'!F206</f>
        <v>Thank you for …</v>
      </c>
      <c r="I605" s="92" t="str">
        <f>'full warmup'!F207</f>
        <v>I need you to …</v>
      </c>
      <c r="J605" s="92" t="str">
        <f>'full warmup'!F208</f>
        <v>Let's continue to …</v>
      </c>
    </row>
    <row r="606" spans="2:10" hidden="1" x14ac:dyDescent="0.3">
      <c r="B606" s="1">
        <v>4</v>
      </c>
      <c r="C606" s="1" t="str">
        <f>'full warmup'!C1080</f>
        <v/>
      </c>
      <c r="H606" s="124" t="str">
        <f>'full warmup'!F230</f>
        <v>Thank you for …</v>
      </c>
      <c r="I606" s="92" t="str">
        <f>'full warmup'!F231</f>
        <v>I need you to ...</v>
      </c>
      <c r="J606" s="92" t="str">
        <f>'full warmup'!F232</f>
        <v>Let's continue to …</v>
      </c>
    </row>
    <row r="607" spans="2:10" hidden="1" x14ac:dyDescent="0.3">
      <c r="B607" s="1">
        <v>5</v>
      </c>
      <c r="C607" s="1" t="str">
        <f>'full warmup'!C1081</f>
        <v/>
      </c>
      <c r="H607" s="124" t="str">
        <f>'full warmup'!F254</f>
        <v>Thank you for …</v>
      </c>
      <c r="I607" s="92" t="str">
        <f>'full warmup'!F255</f>
        <v>I need you to ...</v>
      </c>
      <c r="J607" s="92" t="str">
        <f>'full warmup'!F256</f>
        <v>Let's continue to …</v>
      </c>
    </row>
    <row r="608" spans="2:10" hidden="1" x14ac:dyDescent="0.3">
      <c r="B608" s="1">
        <v>6</v>
      </c>
      <c r="C608" s="1" t="str">
        <f>'full warmup'!C1082</f>
        <v/>
      </c>
      <c r="H608" s="124" t="str">
        <f>'full warmup'!F278</f>
        <v>Thank you for …</v>
      </c>
      <c r="I608" s="92" t="str">
        <f>'full warmup'!F279</f>
        <v>I need you to ...</v>
      </c>
      <c r="J608" s="92" t="str">
        <f>'full warmup'!F280</f>
        <v>Let's continue to …</v>
      </c>
    </row>
    <row r="609" spans="2:10" hidden="1" x14ac:dyDescent="0.3">
      <c r="B609" s="1">
        <v>7</v>
      </c>
      <c r="C609" s="1" t="str">
        <f>'full warmup'!C1083</f>
        <v/>
      </c>
      <c r="H609" s="124" t="str">
        <f>'full warmup'!F302</f>
        <v>Thank you for …</v>
      </c>
      <c r="I609" s="92" t="str">
        <f>'full warmup'!F303</f>
        <v>I need you to ...</v>
      </c>
      <c r="J609" s="92" t="str">
        <f>'full warmup'!F304</f>
        <v>Let's continue to …</v>
      </c>
    </row>
    <row r="610" spans="2:10" hidden="1" x14ac:dyDescent="0.3">
      <c r="B610" s="1">
        <v>8</v>
      </c>
      <c r="C610" s="1" t="str">
        <f>'full warmup'!C1084</f>
        <v/>
      </c>
      <c r="H610" s="124" t="str">
        <f>'full warmup'!F326</f>
        <v>Thank you for …</v>
      </c>
      <c r="I610" s="92" t="str">
        <f>'full warmup'!F327</f>
        <v>I need you to ...</v>
      </c>
      <c r="J610" s="92" t="str">
        <f>'full warmup'!F328</f>
        <v>Let's continue to …</v>
      </c>
    </row>
    <row r="611" spans="2:10" hidden="1" x14ac:dyDescent="0.3">
      <c r="B611" s="1">
        <v>9</v>
      </c>
      <c r="C611" s="1" t="str">
        <f>'full warmup'!C1085</f>
        <v/>
      </c>
      <c r="H611" s="124" t="str">
        <f>'full warmup'!F350</f>
        <v>Thank you for …</v>
      </c>
      <c r="I611" s="92" t="str">
        <f>'full warmup'!F351</f>
        <v>I need you to ...</v>
      </c>
      <c r="J611" s="92" t="str">
        <f>'full warmup'!F352</f>
        <v>Let's continue to …</v>
      </c>
    </row>
    <row r="612" spans="2:10" hidden="1" x14ac:dyDescent="0.3">
      <c r="B612" s="1">
        <v>10</v>
      </c>
      <c r="C612" s="1" t="str">
        <f>'full warmup'!C1086</f>
        <v/>
      </c>
      <c r="H612" s="124" t="str">
        <f>'full warmup'!F374</f>
        <v>Thank you for …</v>
      </c>
      <c r="I612" s="92" t="str">
        <f>'full warmup'!F375</f>
        <v>I need you to ...</v>
      </c>
      <c r="J612" s="92" t="str">
        <f>'full warmup'!F376</f>
        <v>Let's continue to …</v>
      </c>
    </row>
    <row r="613" spans="2:10" hidden="1" x14ac:dyDescent="0.3">
      <c r="B613" s="1">
        <v>11</v>
      </c>
      <c r="C613" s="1" t="str">
        <f>'full warmup'!C1087</f>
        <v/>
      </c>
      <c r="H613" s="124" t="str">
        <f>'full warmup'!F398</f>
        <v>Thank you for …</v>
      </c>
      <c r="I613" s="92" t="str">
        <f>'full warmup'!F399</f>
        <v>I need you to ...</v>
      </c>
      <c r="J613" s="92" t="str">
        <f>'full warmup'!F400</f>
        <v>Let's continue to …</v>
      </c>
    </row>
    <row r="614" spans="2:10" hidden="1" x14ac:dyDescent="0.3">
      <c r="B614" s="1">
        <v>12</v>
      </c>
      <c r="C614" s="1" t="str">
        <f>'full warmup'!C1088</f>
        <v/>
      </c>
      <c r="H614" s="124" t="str">
        <f>'full warmup'!F422</f>
        <v>Thank you for …</v>
      </c>
      <c r="I614" s="92" t="str">
        <f>'full warmup'!F423</f>
        <v>I need you to ...</v>
      </c>
      <c r="J614" s="92" t="str">
        <f>'full warmup'!F424</f>
        <v>Let's continue to …</v>
      </c>
    </row>
    <row r="615" spans="2:10" hidden="1" x14ac:dyDescent="0.3">
      <c r="B615" s="1">
        <v>13</v>
      </c>
      <c r="C615" s="1" t="str">
        <f>'full warmup'!C1089</f>
        <v/>
      </c>
      <c r="H615" s="124" t="str">
        <f>'full warmup'!F446</f>
        <v>Thank you for …</v>
      </c>
      <c r="I615" s="92" t="str">
        <f>'full warmup'!F447</f>
        <v>I need you to ...</v>
      </c>
      <c r="J615" s="92" t="str">
        <f>'full warmup'!F448</f>
        <v>Let's continue to …</v>
      </c>
    </row>
    <row r="616" spans="2:10" hidden="1" x14ac:dyDescent="0.3">
      <c r="B616" s="1">
        <v>14</v>
      </c>
      <c r="C616" s="1" t="str">
        <f>'full warmup'!C1090</f>
        <v/>
      </c>
      <c r="H616" s="124" t="str">
        <f>'full warmup'!F470</f>
        <v>Thank you for …</v>
      </c>
      <c r="I616" s="92" t="str">
        <f>'full warmup'!F471</f>
        <v>I need you to ...</v>
      </c>
      <c r="J616" s="92" t="str">
        <f>'full warmup'!F472</f>
        <v>Let's continue to …</v>
      </c>
    </row>
    <row r="617" spans="2:10" hidden="1" x14ac:dyDescent="0.3">
      <c r="B617" s="1">
        <v>15</v>
      </c>
      <c r="C617" s="1" t="str">
        <f>'full warmup'!C1091</f>
        <v/>
      </c>
      <c r="H617" s="124" t="str">
        <f>'full warmup'!F494</f>
        <v>Thank you for …</v>
      </c>
      <c r="I617" s="92" t="str">
        <f>'full warmup'!F495</f>
        <v>I need you to ...</v>
      </c>
      <c r="J617" s="92" t="str">
        <f>'full warmup'!F496</f>
        <v>Let's continue to …</v>
      </c>
    </row>
    <row r="618" spans="2:10" hidden="1" x14ac:dyDescent="0.3">
      <c r="B618" s="1">
        <v>16</v>
      </c>
      <c r="C618" s="1" t="str">
        <f>'full warmup'!C1092</f>
        <v/>
      </c>
      <c r="H618" s="124" t="str">
        <f>'full warmup'!F518</f>
        <v>Thank you for …</v>
      </c>
      <c r="I618" s="92" t="str">
        <f>'full warmup'!F519</f>
        <v>I need you to ...</v>
      </c>
      <c r="J618" s="92" t="str">
        <f>'full warmup'!F520</f>
        <v>Let's continue to …</v>
      </c>
    </row>
    <row r="619" spans="2:10" hidden="1" x14ac:dyDescent="0.3">
      <c r="B619" s="1">
        <v>17</v>
      </c>
      <c r="C619" s="1" t="str">
        <f>'full warmup'!C1093</f>
        <v/>
      </c>
      <c r="H619" s="124" t="str">
        <f>'full warmup'!F542</f>
        <v>Thank you for …</v>
      </c>
      <c r="I619" s="92" t="str">
        <f>'full warmup'!F543</f>
        <v>I need you to ...</v>
      </c>
      <c r="J619" s="92" t="str">
        <f>'full warmup'!F544</f>
        <v>Let's continue to …</v>
      </c>
    </row>
    <row r="620" spans="2:10" hidden="1" x14ac:dyDescent="0.3">
      <c r="B620" s="1">
        <v>18</v>
      </c>
      <c r="C620" s="1" t="str">
        <f>'full warmup'!C1094</f>
        <v/>
      </c>
      <c r="H620" s="124" t="str">
        <f>'full warmup'!F566</f>
        <v>Thank you for …</v>
      </c>
      <c r="I620" s="92" t="str">
        <f>'full warmup'!F567</f>
        <v>I need you to ...</v>
      </c>
      <c r="J620" s="92" t="str">
        <f>'full warmup'!F568</f>
        <v>Let's continue to …</v>
      </c>
    </row>
    <row r="621" spans="2:10" hidden="1" x14ac:dyDescent="0.3">
      <c r="B621" s="1">
        <v>19</v>
      </c>
      <c r="C621" s="1" t="str">
        <f>'full warmup'!C1095</f>
        <v/>
      </c>
      <c r="H621" s="124" t="str">
        <f>'full warmup'!F590</f>
        <v>Thank you for …</v>
      </c>
      <c r="I621" s="92" t="str">
        <f>'full warmup'!F591</f>
        <v>I need you to ...</v>
      </c>
      <c r="J621" s="92" t="str">
        <f>'full warmup'!F592</f>
        <v>Let's continue to …</v>
      </c>
    </row>
    <row r="622" spans="2:10" hidden="1" x14ac:dyDescent="0.3">
      <c r="B622" s="1">
        <v>20</v>
      </c>
      <c r="C622" s="1" t="str">
        <f>'full warmup'!C1096</f>
        <v/>
      </c>
      <c r="H622" s="124" t="str">
        <f>'full warmup'!F614</f>
        <v>Thank you for …</v>
      </c>
      <c r="I622" s="92" t="str">
        <f>'full warmup'!F615</f>
        <v>I need you to ...</v>
      </c>
      <c r="J622" s="92" t="str">
        <f>'full warmup'!F616</f>
        <v>Let's continue to …</v>
      </c>
    </row>
    <row r="623" spans="2:10" hidden="1" x14ac:dyDescent="0.3">
      <c r="H623" s="90">
        <f>D9</f>
        <v>0</v>
      </c>
    </row>
    <row r="624" spans="2:10" hidden="1" x14ac:dyDescent="0.3">
      <c r="G624" s="1" t="s">
        <v>229</v>
      </c>
      <c r="H624" s="91" t="str">
        <f>IF($D$9=$C603,H603,IF($D$9=$C604,H604,IF($D$9=$C605,H605,IF($D$9=$C606,H606,IF($D$9=$C607,H607,IF($D$9=$C608,H608,IF($D$9=$C609,H609,IF($D$9=$C610,H610,IF($D$9=$C611,H611,IF($D$9=$C612,H612,IF($D$9=$C613,H613,IF($D$9=$C614,H614,IF($D$9=$C615,H615,IF($D$9=$C616,H616,IF($D$9=$C617,H617,IF($D$9=$C618,H618,IF($D$9=$C619,H619,IF($D$9=$C620,H620,IF($D$9=$C621,H621,IF($D$9=$C622,H622,IF($D$9="","")))))))))))))))))))))</f>
        <v>Thank you for …</v>
      </c>
    </row>
    <row r="625" spans="2:9" hidden="1" x14ac:dyDescent="0.3">
      <c r="G625" s="1" t="s">
        <v>230</v>
      </c>
      <c r="H625" s="3" t="str">
        <f>IF($D$9=$C603,I603,IF($D$9=$C604,I604,IF($D$9=$C605,I605,IF($D$9=$C606,I606,IF($D$9=$C607,I607,IF($D$9=$C608,I608,IF($D$9=$C609,I609,IF($D$9=$C610,I610,IF($D$9=$C611,I611,IF($D$9=$C612,I612,IF($D$9=$C613,I613,IF($D$9=$C614,I614,IF($D$9=$C615,I615,IF($D$9=$C616,I616,IF($D$9=$C617,I617,IF($D$9=$C618,I618,IF($D$9=$C619,I619,IF($D$9=$C620,I620,IF($D$9=$C621,I621,IF($D$9=$C622,I622,IF($D$9="","")))))))))))))))))))))</f>
        <v>I need you to ...</v>
      </c>
    </row>
    <row r="626" spans="2:9" hidden="1" x14ac:dyDescent="0.3">
      <c r="G626" s="1" t="s">
        <v>229</v>
      </c>
      <c r="H626" s="3" t="str">
        <f>IF($D$9=$C603,J603,IF($D$9=$C604,J604,IF($D$9=$C605,J605,IF($D$9=$C606,J606,IF($D$9=$C607,J607,IF($D$9=$C608,J608,IF($D$9=$C609,J609,IF($D$9=$C610,J610,IF($D$9=$C611,J611,IF($D$9=$C612,J612,IF($D$9=$C613,J613,IF($D$9=$C614,J614,IF($D$9=$C615,J615,IF($D$9=$C616,J616,IF($D$9=$C617,J617,IF($D$9=$C618,J618,IF($D$9=$C619,J619,IF($D$9=$C620,J620,IF($D$9=$C621,J621,IF($D$9=$C622,J622,IF($D$9="","")))))))))))))))))))))</f>
        <v>Let's continue to …</v>
      </c>
    </row>
    <row r="627" spans="2:9" hidden="1" x14ac:dyDescent="0.3"/>
    <row r="628" spans="2:9" hidden="1" x14ac:dyDescent="0.3"/>
    <row r="629" spans="2:9" hidden="1" x14ac:dyDescent="0.3"/>
    <row r="630" spans="2:9" hidden="1" x14ac:dyDescent="0.3">
      <c r="B630" s="1" t="s">
        <v>237</v>
      </c>
      <c r="I630" s="1" t="s">
        <v>231</v>
      </c>
    </row>
    <row r="631" spans="2:9" hidden="1" x14ac:dyDescent="0.3">
      <c r="B631" s="1">
        <v>1</v>
      </c>
      <c r="C631" s="1" t="s">
        <v>235</v>
      </c>
      <c r="H631" s="91" t="s">
        <v>3</v>
      </c>
      <c r="I631" s="1" t="s">
        <v>232</v>
      </c>
    </row>
    <row r="632" spans="2:9" hidden="1" x14ac:dyDescent="0.3">
      <c r="B632" s="1">
        <v>2</v>
      </c>
      <c r="C632" s="1" t="s">
        <v>236</v>
      </c>
      <c r="H632" s="91" t="s">
        <v>3</v>
      </c>
      <c r="I632" s="1" t="s">
        <v>233</v>
      </c>
    </row>
    <row r="633" spans="2:9" hidden="1" x14ac:dyDescent="0.3">
      <c r="B633" s="1">
        <v>3</v>
      </c>
      <c r="C633" s="1" t="s">
        <v>238</v>
      </c>
      <c r="H633" s="91" t="s">
        <v>3</v>
      </c>
      <c r="I633" s="1" t="s">
        <v>234</v>
      </c>
    </row>
    <row r="634" spans="2:9" hidden="1" x14ac:dyDescent="0.3">
      <c r="I634" s="1" t="s">
        <v>319</v>
      </c>
    </row>
    <row r="635" spans="2:9" hidden="1" x14ac:dyDescent="0.3">
      <c r="I635" s="1" t="s">
        <v>320</v>
      </c>
    </row>
    <row r="636" spans="2:9" hidden="1" x14ac:dyDescent="0.3"/>
    <row r="637" spans="2:9" hidden="1" x14ac:dyDescent="0.3">
      <c r="C637" s="1" t="s">
        <v>318</v>
      </c>
      <c r="G637" s="1" t="s">
        <v>270</v>
      </c>
    </row>
    <row r="638" spans="2:9" hidden="1" x14ac:dyDescent="0.3"/>
    <row r="639" spans="2:9" hidden="1" x14ac:dyDescent="0.3"/>
    <row r="640" spans="2:9"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sheetData>
  <mergeCells count="17">
    <mergeCell ref="C24:M24"/>
    <mergeCell ref="B27:M27"/>
    <mergeCell ref="D13:M13"/>
    <mergeCell ref="B2:M2"/>
    <mergeCell ref="B4:M4"/>
    <mergeCell ref="C25:M25"/>
    <mergeCell ref="D8:M8"/>
    <mergeCell ref="D10:M10"/>
    <mergeCell ref="D12:M12"/>
    <mergeCell ref="D14:M14"/>
    <mergeCell ref="B16:M16"/>
    <mergeCell ref="B18:M18"/>
    <mergeCell ref="B20:M20"/>
    <mergeCell ref="D7:M7"/>
    <mergeCell ref="D9:M9"/>
    <mergeCell ref="D11:M11"/>
    <mergeCell ref="C23:M23"/>
  </mergeCells>
  <dataValidations count="1">
    <dataValidation type="list" errorStyle="information" allowBlank="1" showInputMessage="1" showErrorMessage="1" error="Pick one of these titles or draft your own" sqref="D11:M11" xr:uid="{537437A9-DB6E-4E55-9362-973D1EF37358}">
      <formula1>$I$630:$I$635</formula1>
    </dataValidation>
  </dataValidations>
  <hyperlinks>
    <hyperlink ref="B2:M2" location="'full warmup'!B699:H703" tooltip="back to Message Templates" display="EXPRESS YOUR NEED TO THEM" xr:uid="{B2F83931-65F2-4DBF-999A-30DAE000EC1F}"/>
    <hyperlink ref="D7:M7" location="'full warmup'!E5" tooltip="Click to go the field where you first enter your name" display="'full warmup'!E5" xr:uid="{F1D32BDE-9219-41A4-AE78-866258934844}"/>
  </hyperlinks>
  <printOptions horizontalCentered="1"/>
  <pageMargins left="0.5" right="0.5" top="0.75" bottom="0.75" header="0.3" footer="0.3"/>
  <pageSetup orientation="portrait" r:id="rId1"/>
  <headerFooter>
    <oddHeader>&amp;C&amp;"Arial Black,Regular"&amp;14&amp;K009641Anankelogy&amp;K004623 &amp;K7030A0Foundation</oddHeader>
    <oddFooter>&amp;C&amp;D</oddFooter>
  </headerFooter>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a name from the dropdown list" xr:uid="{DE8954FC-E410-4444-B1DF-75953515D1E9}">
          <x14:formula1>
            <xm:f>'full warmup'!$C$1077:$C$1096</xm:f>
          </x14:formula1>
          <xm:sqref>D9:L9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0D5-B2D5-4BAC-BD2E-8CE48F6303D1}">
  <dimension ref="A1:BB600"/>
  <sheetViews>
    <sheetView zoomScaleNormal="100" zoomScaleSheetLayoutView="100" workbookViewId="0">
      <selection activeCell="N3" sqref="A1:N3"/>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9" width="7.36328125" style="1" customWidth="1"/>
    <col min="30" max="71" width="8.90625" style="1" customWidth="1"/>
    <col min="72" max="73" width="15.6328125" style="1" customWidth="1"/>
    <col min="74" max="123" width="8.90625" style="1" customWidth="1"/>
    <col min="124" max="16384" width="8.90625" style="1"/>
  </cols>
  <sheetData>
    <row r="1" spans="1:18" ht="10" customHeight="1" thickBot="1" x14ac:dyDescent="0.35">
      <c r="A1" s="96"/>
      <c r="B1" s="99"/>
      <c r="C1" s="97"/>
      <c r="D1" s="97"/>
      <c r="E1" s="97"/>
      <c r="F1" s="97"/>
      <c r="G1" s="97"/>
      <c r="H1" s="97"/>
      <c r="I1" s="97"/>
      <c r="J1" s="97"/>
      <c r="K1" s="97"/>
      <c r="L1" s="97"/>
      <c r="M1" s="97"/>
      <c r="N1" s="98"/>
    </row>
    <row r="2" spans="1:18" ht="60" customHeight="1" thickTop="1" thickBot="1" x14ac:dyDescent="0.35">
      <c r="A2" s="47"/>
      <c r="B2" s="304"/>
      <c r="C2" s="305"/>
      <c r="D2" s="305"/>
      <c r="E2" s="305"/>
      <c r="F2" s="305"/>
      <c r="G2" s="305"/>
      <c r="H2" s="305"/>
      <c r="I2" s="305"/>
      <c r="J2" s="305"/>
      <c r="K2" s="305"/>
      <c r="L2" s="305"/>
      <c r="M2" s="306"/>
      <c r="N2" s="48"/>
    </row>
    <row r="3" spans="1:18" ht="10" customHeight="1" thickTop="1" x14ac:dyDescent="0.3">
      <c r="A3" s="47"/>
      <c r="B3" s="73"/>
      <c r="C3" s="74"/>
      <c r="D3" s="74"/>
      <c r="E3" s="74"/>
      <c r="F3" s="74"/>
      <c r="G3" s="74"/>
      <c r="H3" s="74"/>
      <c r="I3" s="74"/>
      <c r="J3" s="74"/>
      <c r="K3" s="74"/>
      <c r="L3" s="74"/>
      <c r="M3" s="74"/>
      <c r="N3" s="48"/>
    </row>
    <row r="4" spans="1:18" ht="20" customHeight="1" x14ac:dyDescent="0.3">
      <c r="A4" s="21"/>
      <c r="B4" s="262"/>
      <c r="C4" s="262"/>
      <c r="D4" s="262"/>
      <c r="E4" s="262"/>
      <c r="F4" s="262"/>
      <c r="G4" s="262"/>
      <c r="H4" s="262"/>
      <c r="I4" s="262"/>
      <c r="J4" s="262"/>
      <c r="K4" s="262"/>
      <c r="L4" s="262"/>
      <c r="M4" s="262"/>
      <c r="N4" s="20"/>
    </row>
    <row r="5" spans="1:18" ht="50" customHeight="1" x14ac:dyDescent="0.3">
      <c r="A5" s="21"/>
      <c r="B5" s="262" t="str">
        <f>IF(O523=0,"",R523)</f>
        <v/>
      </c>
      <c r="C5" s="262"/>
      <c r="D5" s="262"/>
      <c r="E5" s="262"/>
      <c r="F5" s="262"/>
      <c r="G5" s="262"/>
      <c r="H5" s="262"/>
      <c r="I5" s="262"/>
      <c r="J5" s="262"/>
      <c r="K5" s="262"/>
      <c r="L5" s="262"/>
      <c r="M5" s="262"/>
      <c r="N5" s="20"/>
    </row>
    <row r="6" spans="1:18" ht="80" customHeight="1" x14ac:dyDescent="0.3">
      <c r="A6" s="21"/>
      <c r="B6" s="262" t="str">
        <f>IF(O523=0,"",AB523)</f>
        <v/>
      </c>
      <c r="C6" s="262"/>
      <c r="D6" s="262"/>
      <c r="E6" s="262"/>
      <c r="F6" s="262"/>
      <c r="G6" s="262"/>
      <c r="H6" s="262"/>
      <c r="I6" s="262"/>
      <c r="J6" s="262"/>
      <c r="K6" s="262"/>
      <c r="L6" s="262"/>
      <c r="M6" s="262"/>
      <c r="N6" s="20"/>
      <c r="R6" s="145"/>
    </row>
    <row r="7" spans="1:18" ht="50" customHeight="1" x14ac:dyDescent="0.3">
      <c r="A7" s="21"/>
      <c r="B7" s="262" t="str">
        <f>IF(O523=0,"",AE523)</f>
        <v/>
      </c>
      <c r="C7" s="262"/>
      <c r="D7" s="262"/>
      <c r="E7" s="262"/>
      <c r="F7" s="262"/>
      <c r="G7" s="262"/>
      <c r="H7" s="262"/>
      <c r="I7" s="262"/>
      <c r="J7" s="262"/>
      <c r="K7" s="262"/>
      <c r="L7" s="262"/>
      <c r="M7" s="262"/>
      <c r="N7" s="20"/>
    </row>
    <row r="8" spans="1:18" ht="45" customHeight="1" x14ac:dyDescent="0.3">
      <c r="A8" s="21"/>
      <c r="B8" s="281" t="str">
        <f>IF(O523=0,"",AF523)</f>
        <v/>
      </c>
      <c r="C8" s="281"/>
      <c r="D8" s="281"/>
      <c r="E8" s="281"/>
      <c r="F8" s="281"/>
      <c r="G8" s="281"/>
      <c r="H8" s="281"/>
      <c r="I8" s="281"/>
      <c r="J8" s="281"/>
      <c r="K8" s="281"/>
      <c r="L8" s="281"/>
      <c r="M8" s="281"/>
      <c r="N8" s="20"/>
    </row>
    <row r="9" spans="1:18" ht="60" customHeight="1" x14ac:dyDescent="0.3">
      <c r="A9" s="21"/>
      <c r="B9" s="262" t="str">
        <f>IF(O523=0,"",AG523)</f>
        <v/>
      </c>
      <c r="C9" s="262"/>
      <c r="D9" s="262"/>
      <c r="E9" s="262"/>
      <c r="F9" s="262"/>
      <c r="G9" s="262"/>
      <c r="H9" s="262"/>
      <c r="I9" s="262"/>
      <c r="J9" s="262"/>
      <c r="K9" s="262"/>
      <c r="L9" s="262"/>
      <c r="M9" s="262"/>
      <c r="N9" s="20"/>
    </row>
    <row r="10" spans="1:18" ht="80" customHeight="1" x14ac:dyDescent="0.3">
      <c r="A10" s="21"/>
      <c r="B10" s="262" t="str">
        <f>IF(O523=0,"",AI523)</f>
        <v/>
      </c>
      <c r="C10" s="262"/>
      <c r="D10" s="262"/>
      <c r="E10" s="262"/>
      <c r="F10" s="262"/>
      <c r="G10" s="262"/>
      <c r="H10" s="262"/>
      <c r="I10" s="262"/>
      <c r="J10" s="262"/>
      <c r="K10" s="262"/>
      <c r="L10" s="262"/>
      <c r="M10" s="262"/>
      <c r="N10" s="20"/>
    </row>
    <row r="11" spans="1:18" ht="65" customHeight="1" x14ac:dyDescent="0.3">
      <c r="A11" s="21"/>
      <c r="B11" s="262" t="str">
        <f>IF(O523=0,"",AK523)</f>
        <v/>
      </c>
      <c r="C11" s="262"/>
      <c r="D11" s="262"/>
      <c r="E11" s="262"/>
      <c r="F11" s="262"/>
      <c r="G11" s="262"/>
      <c r="H11" s="262"/>
      <c r="I11" s="262"/>
      <c r="J11" s="262"/>
      <c r="K11" s="262"/>
      <c r="L11" s="262"/>
      <c r="M11" s="262"/>
      <c r="N11" s="20"/>
    </row>
    <row r="12" spans="1:18" ht="20" customHeight="1" x14ac:dyDescent="0.3">
      <c r="A12" s="21"/>
      <c r="B12" s="262"/>
      <c r="C12" s="262"/>
      <c r="D12" s="262"/>
      <c r="E12" s="262"/>
      <c r="F12" s="262"/>
      <c r="G12" s="262"/>
      <c r="H12" s="262"/>
      <c r="I12" s="262"/>
      <c r="J12" s="262"/>
      <c r="K12" s="262"/>
      <c r="L12" s="262"/>
      <c r="M12" s="262"/>
      <c r="N12" s="20"/>
    </row>
    <row r="13" spans="1:18" ht="25" customHeight="1" x14ac:dyDescent="0.3">
      <c r="A13" s="21"/>
      <c r="B13" s="95"/>
      <c r="C13" s="95"/>
      <c r="D13" s="95"/>
      <c r="E13" s="311" t="str">
        <f>IF(O523=0,"",C525)</f>
        <v/>
      </c>
      <c r="F13" s="311"/>
      <c r="G13" s="311"/>
      <c r="H13" s="311"/>
      <c r="I13" s="311"/>
      <c r="J13" s="311"/>
      <c r="K13" s="311"/>
      <c r="L13" s="95"/>
      <c r="M13" s="95"/>
      <c r="N13" s="20"/>
    </row>
    <row r="14" spans="1:18" ht="30" customHeight="1" x14ac:dyDescent="0.3">
      <c r="A14" s="21"/>
      <c r="B14" s="262"/>
      <c r="C14" s="262"/>
      <c r="D14" s="262"/>
      <c r="E14" s="262"/>
      <c r="F14" s="262"/>
      <c r="G14" s="262"/>
      <c r="H14" s="262"/>
      <c r="I14" s="262"/>
      <c r="J14" s="262"/>
      <c r="K14" s="262"/>
      <c r="L14" s="262"/>
      <c r="M14" s="262"/>
      <c r="N14" s="20"/>
    </row>
    <row r="15" spans="1:18" ht="20" customHeight="1" x14ac:dyDescent="0.3">
      <c r="A15" s="21"/>
      <c r="B15" s="88"/>
      <c r="C15" s="88"/>
      <c r="D15" s="88"/>
      <c r="E15" s="88"/>
      <c r="F15" s="88"/>
      <c r="G15" s="88"/>
      <c r="H15" s="88"/>
      <c r="I15" s="88"/>
      <c r="J15" s="88"/>
      <c r="K15" s="88"/>
      <c r="L15" s="88"/>
      <c r="M15" s="88"/>
      <c r="N15" s="20"/>
    </row>
    <row r="16" spans="1:18" ht="20" customHeight="1" x14ac:dyDescent="0.3">
      <c r="A16" s="21"/>
      <c r="B16" s="308" t="str">
        <f>IF(B2="","","Check the next page to see how your responsive score was calculated.")</f>
        <v/>
      </c>
      <c r="C16" s="308"/>
      <c r="D16" s="308"/>
      <c r="E16" s="308"/>
      <c r="F16" s="308"/>
      <c r="G16" s="308"/>
      <c r="H16" s="308"/>
      <c r="I16" s="308"/>
      <c r="J16" s="308"/>
      <c r="K16" s="308"/>
      <c r="L16" s="308"/>
      <c r="M16" s="308"/>
      <c r="N16" s="20"/>
    </row>
    <row r="17" spans="1:54" ht="20" customHeight="1" x14ac:dyDescent="0.3">
      <c r="A17" s="21"/>
      <c r="B17" s="88"/>
      <c r="C17" s="88"/>
      <c r="D17" s="88"/>
      <c r="E17" s="88"/>
      <c r="F17" s="88"/>
      <c r="G17" s="88"/>
      <c r="H17" s="88"/>
      <c r="I17" s="88"/>
      <c r="J17" s="88"/>
      <c r="K17" s="88"/>
      <c r="L17" s="88"/>
      <c r="M17" s="88"/>
      <c r="N17" s="20"/>
    </row>
    <row r="18" spans="1:54" ht="15" customHeight="1" x14ac:dyDescent="0.3">
      <c r="A18" s="19"/>
      <c r="B18" s="18"/>
      <c r="C18" s="18"/>
      <c r="D18" s="18"/>
      <c r="E18" s="18"/>
      <c r="F18" s="18"/>
      <c r="G18" s="18"/>
      <c r="H18" s="17"/>
      <c r="I18" s="17"/>
      <c r="J18" s="17"/>
      <c r="K18" s="17"/>
      <c r="L18" s="17"/>
      <c r="M18" s="17"/>
      <c r="N18" s="16"/>
      <c r="BB18" s="4"/>
    </row>
    <row r="19" spans="1:54" ht="25" customHeight="1" x14ac:dyDescent="0.3">
      <c r="A19" s="307" t="str">
        <f>IF(B2="",S534,"How our mutual responsiveness score was calculated")</f>
        <v>SEE HOW YOU BOTH SCORED AFTER COMPLETING ALL STEPS</v>
      </c>
      <c r="B19" s="307"/>
      <c r="C19" s="307"/>
      <c r="D19" s="307"/>
      <c r="E19" s="307"/>
      <c r="F19" s="307"/>
      <c r="G19" s="307"/>
      <c r="H19" s="307"/>
      <c r="I19" s="307"/>
      <c r="J19" s="307"/>
      <c r="K19" s="307"/>
      <c r="L19" s="307"/>
      <c r="M19" s="307"/>
      <c r="N19" s="307"/>
    </row>
    <row r="20" spans="1:54" ht="45" customHeight="1" x14ac:dyDescent="0.3">
      <c r="A20" s="110"/>
      <c r="B20" s="299" t="str">
        <f>IF(S558=S536,"",'full warmup'!AH1060)</f>
        <v/>
      </c>
      <c r="C20" s="299"/>
      <c r="D20" s="299"/>
      <c r="E20" s="299"/>
      <c r="F20" s="299"/>
      <c r="G20" s="299"/>
      <c r="H20" s="299"/>
      <c r="I20" s="299"/>
      <c r="J20" s="299"/>
      <c r="K20" s="299"/>
      <c r="L20" s="299"/>
      <c r="M20" s="299"/>
      <c r="N20" s="110"/>
    </row>
    <row r="21" spans="1:54" ht="25" customHeight="1" x14ac:dyDescent="0.3">
      <c r="A21" s="110"/>
      <c r="B21" s="303" t="str">
        <f>IF(S558=S536,"","RESPONSIVE RATING ROUND 1:")</f>
        <v/>
      </c>
      <c r="C21" s="303"/>
      <c r="D21" s="303"/>
      <c r="E21" s="303"/>
      <c r="F21" s="303"/>
      <c r="G21" s="303"/>
      <c r="H21" s="303"/>
      <c r="I21" s="303"/>
      <c r="J21" s="303"/>
      <c r="K21" s="303"/>
      <c r="L21" s="303"/>
      <c r="M21" s="122" t="str">
        <f>IF(S558=S536,"",'full warmup'!BE1061*0.01)</f>
        <v/>
      </c>
      <c r="N21" s="110"/>
    </row>
    <row r="22" spans="1:54" ht="30" customHeight="1" x14ac:dyDescent="0.3">
      <c r="A22" s="110"/>
      <c r="B22" s="296" t="str">
        <f>IF(S558=S536,"","degree of your responsiveness")</f>
        <v/>
      </c>
      <c r="C22" s="297"/>
      <c r="D22" s="297"/>
      <c r="E22" s="111" t="str">
        <f>IF(S558=S536,"","+")</f>
        <v/>
      </c>
      <c r="F22" s="296" t="str">
        <f>IF(S558=S536,"","urgency of your need")</f>
        <v/>
      </c>
      <c r="G22" s="297"/>
      <c r="H22" s="111" t="str">
        <f>IF(S558=S536,"","—")</f>
        <v/>
      </c>
      <c r="I22" s="296" t="str">
        <f>IF(S558=S536,""," days for you to respond ")</f>
        <v/>
      </c>
      <c r="J22" s="297"/>
      <c r="K22" s="298" t="str">
        <f>IF(S558=S536,"","=   responsive score 1")</f>
        <v/>
      </c>
      <c r="L22" s="298"/>
      <c r="M22" s="298"/>
      <c r="N22" s="110"/>
    </row>
    <row r="23" spans="1:54" ht="60" customHeight="1" x14ac:dyDescent="0.3">
      <c r="A23" s="110"/>
      <c r="B23" s="299" t="str">
        <f>IF(S558=S536,"",'full warmup'!AH1061)</f>
        <v/>
      </c>
      <c r="C23" s="299"/>
      <c r="D23" s="299"/>
      <c r="E23" s="299"/>
      <c r="F23" s="299"/>
      <c r="G23" s="299"/>
      <c r="H23" s="299"/>
      <c r="I23" s="299"/>
      <c r="J23" s="299"/>
      <c r="K23" s="299"/>
      <c r="L23" s="299"/>
      <c r="M23" s="299"/>
      <c r="N23" s="110"/>
    </row>
    <row r="24" spans="1:54" ht="24" customHeight="1" x14ac:dyDescent="0.3">
      <c r="A24" s="110"/>
      <c r="B24" s="303" t="str">
        <f>IF(S558=S536,"","RESPONSIVE RATING ROUND 2:")</f>
        <v/>
      </c>
      <c r="C24" s="303"/>
      <c r="D24" s="303"/>
      <c r="E24" s="303"/>
      <c r="F24" s="303"/>
      <c r="G24" s="303"/>
      <c r="H24" s="303"/>
      <c r="I24" s="303"/>
      <c r="J24" s="303"/>
      <c r="K24" s="303"/>
      <c r="L24" s="303"/>
      <c r="M24" s="122" t="str">
        <f>IF(S558=S536,"",'full warmup'!BE1062*0.01)</f>
        <v/>
      </c>
      <c r="N24" s="110"/>
    </row>
    <row r="25" spans="1:54" ht="20" customHeight="1" x14ac:dyDescent="0.3">
      <c r="A25" s="110"/>
      <c r="B25" s="25"/>
      <c r="C25" s="25"/>
      <c r="D25" s="25"/>
      <c r="E25" s="312" t="str">
        <f>IF(S558=S536,"","your satisfaction level    =    responsiveness score 2")</f>
        <v/>
      </c>
      <c r="F25" s="313"/>
      <c r="G25" s="313"/>
      <c r="H25" s="313"/>
      <c r="I25" s="313"/>
      <c r="J25" s="313"/>
      <c r="K25" s="313"/>
      <c r="L25" s="25"/>
      <c r="M25" s="25"/>
      <c r="N25" s="110"/>
    </row>
    <row r="26" spans="1:54" ht="35" customHeight="1" x14ac:dyDescent="0.3">
      <c r="A26" s="110"/>
      <c r="B26" s="299" t="str">
        <f>IF(S558=S536,"",'full warmup'!AH1062)</f>
        <v/>
      </c>
      <c r="C26" s="299"/>
      <c r="D26" s="299"/>
      <c r="E26" s="299"/>
      <c r="F26" s="299"/>
      <c r="G26" s="299"/>
      <c r="H26" s="299"/>
      <c r="I26" s="299"/>
      <c r="J26" s="299"/>
      <c r="K26" s="299"/>
      <c r="L26" s="299"/>
      <c r="M26" s="299"/>
      <c r="N26" s="110"/>
    </row>
    <row r="27" spans="1:54" ht="24" customHeight="1" x14ac:dyDescent="0.3">
      <c r="A27" s="110"/>
      <c r="B27" s="303" t="str">
        <f>IF(S558=S536,"","RESPONSIVE RATING ROUND 3:")</f>
        <v/>
      </c>
      <c r="C27" s="303"/>
      <c r="D27" s="303"/>
      <c r="E27" s="303"/>
      <c r="F27" s="303"/>
      <c r="G27" s="303"/>
      <c r="H27" s="303"/>
      <c r="I27" s="303"/>
      <c r="J27" s="303"/>
      <c r="K27" s="303"/>
      <c r="L27" s="303"/>
      <c r="M27" s="122" t="str">
        <f>IF(S558=S536,"",'full warmup'!BE1063*0.01)</f>
        <v/>
      </c>
      <c r="N27" s="110"/>
    </row>
    <row r="28" spans="1:54" ht="30" customHeight="1" x14ac:dyDescent="0.3">
      <c r="A28" s="110"/>
      <c r="B28" s="297" t="str">
        <f>IF(S558=S536,"","your degree of receptivity to need")</f>
        <v/>
      </c>
      <c r="C28" s="297"/>
      <c r="D28" s="297"/>
      <c r="E28" s="111" t="str">
        <f>IF(S558=S536,"","+")</f>
        <v/>
      </c>
      <c r="F28" s="297" t="str">
        <f>IF(S558=S536,""," your responsiveness to my expressed need ")</f>
        <v/>
      </c>
      <c r="G28" s="297"/>
      <c r="H28" s="297"/>
      <c r="I28" s="309" t="str">
        <f>IF(S558=S536,"","/    2")</f>
        <v/>
      </c>
      <c r="J28" s="310"/>
      <c r="K28" s="301" t="str">
        <f>IF(S558=S536,"","=   responsive score 3")</f>
        <v/>
      </c>
      <c r="L28" s="302"/>
      <c r="M28" s="302"/>
      <c r="N28" s="110"/>
    </row>
    <row r="29" spans="1:54" ht="45" customHeight="1" x14ac:dyDescent="0.3">
      <c r="A29" s="110"/>
      <c r="B29" s="299" t="str">
        <f>IF(S558=S536,"",'full warmup'!AH1063)</f>
        <v/>
      </c>
      <c r="C29" s="299"/>
      <c r="D29" s="299"/>
      <c r="E29" s="299"/>
      <c r="F29" s="299"/>
      <c r="G29" s="299"/>
      <c r="H29" s="299"/>
      <c r="I29" s="299"/>
      <c r="J29" s="299"/>
      <c r="K29" s="299"/>
      <c r="L29" s="299"/>
      <c r="M29" s="299"/>
      <c r="N29" s="110"/>
    </row>
    <row r="30" spans="1:54" ht="24" customHeight="1" x14ac:dyDescent="0.3">
      <c r="A30" s="110"/>
      <c r="B30" s="303" t="str">
        <f>IF(S558=S536,"","RESPONSIVE RATING ROUND 4:")</f>
        <v/>
      </c>
      <c r="C30" s="303"/>
      <c r="D30" s="303"/>
      <c r="E30" s="303"/>
      <c r="F30" s="303"/>
      <c r="G30" s="303"/>
      <c r="H30" s="303"/>
      <c r="I30" s="303"/>
      <c r="J30" s="303"/>
      <c r="K30" s="303"/>
      <c r="L30" s="303"/>
      <c r="M30" s="122" t="str">
        <f>IF(S558=S536,"",'full warmup'!BE1064*0.01)</f>
        <v/>
      </c>
      <c r="N30" s="110"/>
    </row>
    <row r="31" spans="1:54" ht="30" customHeight="1" x14ac:dyDescent="0.3">
      <c r="A31" s="110"/>
      <c r="B31" s="25"/>
      <c r="C31" s="296" t="str">
        <f>IF(S558=S536,"","degree of your responsiveness")</f>
        <v/>
      </c>
      <c r="D31" s="297"/>
      <c r="E31" s="297"/>
      <c r="F31" s="300" t="str">
        <f>IF(S558=S536,"","—")</f>
        <v/>
      </c>
      <c r="G31" s="300"/>
      <c r="H31" s="296" t="str">
        <f>IF(S558=S536,""," days for you to respond ")</f>
        <v/>
      </c>
      <c r="I31" s="297"/>
      <c r="J31" s="25"/>
      <c r="K31" s="301" t="str">
        <f>IF(S558=S536,"","=   responsive score 4")</f>
        <v/>
      </c>
      <c r="L31" s="302"/>
      <c r="M31" s="302"/>
      <c r="N31" s="110"/>
    </row>
    <row r="32" spans="1:54" ht="45" customHeight="1" x14ac:dyDescent="0.3">
      <c r="A32" s="110"/>
      <c r="B32" s="299" t="str">
        <f>IF(S558=S536,"",'full warmup'!AH1064)</f>
        <v/>
      </c>
      <c r="C32" s="299"/>
      <c r="D32" s="299"/>
      <c r="E32" s="299"/>
      <c r="F32" s="299"/>
      <c r="G32" s="299"/>
      <c r="H32" s="299"/>
      <c r="I32" s="299"/>
      <c r="J32" s="299"/>
      <c r="K32" s="299"/>
      <c r="L32" s="299"/>
      <c r="M32" s="299"/>
      <c r="N32" s="110"/>
    </row>
    <row r="33" spans="1:14" ht="24" customHeight="1" x14ac:dyDescent="0.3">
      <c r="A33" s="110"/>
      <c r="B33" s="303" t="str">
        <f>IF(S558=S536,"","OUR MUTUAL RESPONSIVENESS SCORE:")</f>
        <v/>
      </c>
      <c r="C33" s="303"/>
      <c r="D33" s="303"/>
      <c r="E33" s="303"/>
      <c r="F33" s="303"/>
      <c r="G33" s="303"/>
      <c r="H33" s="303"/>
      <c r="I33" s="303"/>
      <c r="J33" s="303"/>
      <c r="K33" s="303"/>
      <c r="L33" s="303"/>
      <c r="M33" s="122" t="str">
        <f>IF(S558=S536,"",'full warmup'!BE1065*0.01)</f>
        <v/>
      </c>
      <c r="N33" s="110"/>
    </row>
    <row r="34" spans="1:14" ht="30" customHeight="1" x14ac:dyDescent="0.3">
      <c r="A34" s="110"/>
      <c r="B34" s="296" t="str">
        <f>IF(S558=S536,"","responsive score 1")</f>
        <v/>
      </c>
      <c r="C34" s="296"/>
      <c r="D34" s="111" t="str">
        <f>IF(S558=S536,"","+")</f>
        <v/>
      </c>
      <c r="E34" s="296" t="str">
        <f>IF(S558=S536,"","responsive score 2")</f>
        <v/>
      </c>
      <c r="F34" s="296"/>
      <c r="G34" s="111" t="str">
        <f>IF(S558=S536,"","+")</f>
        <v/>
      </c>
      <c r="H34" s="296" t="str">
        <f>IF(S558=S536,"","responsive score 3")</f>
        <v/>
      </c>
      <c r="I34" s="296"/>
      <c r="J34" s="111" t="str">
        <f>IF(S558=S536,"","+")</f>
        <v/>
      </c>
      <c r="K34" s="296" t="str">
        <f>IF(S558=S536,"","responsive score 4")</f>
        <v/>
      </c>
      <c r="L34" s="296"/>
      <c r="M34" s="121" t="str">
        <f>IF(S558=S536,"","/  4")</f>
        <v/>
      </c>
      <c r="N34" s="110"/>
    </row>
    <row r="35" spans="1:14" ht="55" customHeight="1" x14ac:dyDescent="0.3">
      <c r="A35" s="110"/>
      <c r="B35" s="299" t="str">
        <f>IF(S558=S536,"",'full warmup'!AH1065)</f>
        <v/>
      </c>
      <c r="C35" s="299"/>
      <c r="D35" s="299"/>
      <c r="E35" s="299"/>
      <c r="F35" s="299"/>
      <c r="G35" s="299"/>
      <c r="H35" s="299"/>
      <c r="I35" s="299"/>
      <c r="J35" s="299"/>
      <c r="K35" s="299"/>
      <c r="L35" s="299"/>
      <c r="M35" s="299"/>
      <c r="N35" s="110"/>
    </row>
    <row r="36" spans="1:14" ht="55" customHeight="1" x14ac:dyDescent="0.3">
      <c r="A36" s="110"/>
      <c r="B36" s="299" t="str">
        <f>IF(S558=S536,"",'full warmup'!AH1067)</f>
        <v/>
      </c>
      <c r="C36" s="299"/>
      <c r="D36" s="299"/>
      <c r="E36" s="299"/>
      <c r="F36" s="299"/>
      <c r="G36" s="299"/>
      <c r="H36" s="299"/>
      <c r="I36" s="299"/>
      <c r="J36" s="299"/>
      <c r="K36" s="299"/>
      <c r="L36" s="299"/>
      <c r="M36" s="299"/>
      <c r="N36" s="110"/>
    </row>
    <row r="37" spans="1:14" ht="55" customHeight="1" x14ac:dyDescent="0.3">
      <c r="A37" s="110"/>
      <c r="B37" s="299" t="str">
        <f>IF(S558=S536,"",'full warmup'!AH1068)</f>
        <v/>
      </c>
      <c r="C37" s="299"/>
      <c r="D37" s="299"/>
      <c r="E37" s="299"/>
      <c r="F37" s="299"/>
      <c r="G37" s="299"/>
      <c r="H37" s="299"/>
      <c r="I37" s="299"/>
      <c r="J37" s="299"/>
      <c r="K37" s="299"/>
      <c r="L37" s="299"/>
      <c r="M37" s="299"/>
      <c r="N37" s="110"/>
    </row>
    <row r="342" spans="2:13" s="2" customFormat="1" x14ac:dyDescent="0.3">
      <c r="B342" s="1"/>
      <c r="C342" s="1"/>
      <c r="D342" s="1"/>
      <c r="E342" s="1"/>
      <c r="F342" s="1"/>
      <c r="G342" s="1"/>
      <c r="H342" s="3"/>
      <c r="I342" s="1"/>
      <c r="J342" s="1"/>
      <c r="K342" s="1"/>
      <c r="L342" s="1"/>
      <c r="M342" s="1"/>
    </row>
    <row r="501" spans="2:46" hidden="1" x14ac:dyDescent="0.3">
      <c r="R501" s="1" t="s">
        <v>325</v>
      </c>
    </row>
    <row r="502" spans="2:46" hidden="1" x14ac:dyDescent="0.3">
      <c r="D502" s="1" t="s">
        <v>164</v>
      </c>
      <c r="R502" s="141" t="s">
        <v>292</v>
      </c>
      <c r="AB502" s="141" t="s">
        <v>293</v>
      </c>
      <c r="AE502" s="141" t="s">
        <v>294</v>
      </c>
      <c r="AF502" s="141" t="s">
        <v>295</v>
      </c>
      <c r="AG502" s="141" t="s">
        <v>296</v>
      </c>
      <c r="AI502" s="141" t="s">
        <v>297</v>
      </c>
      <c r="AK502" s="141" t="s">
        <v>298</v>
      </c>
      <c r="AM502" s="141"/>
      <c r="AQ502" s="141"/>
    </row>
    <row r="503" spans="2:46" hidden="1" x14ac:dyDescent="0.3">
      <c r="B503" s="1">
        <v>1</v>
      </c>
      <c r="C503" s="4" t="str">
        <f>CONCATENATE(D503,E503)</f>
        <v xml:space="preserve">Thank you, </v>
      </c>
      <c r="D503" s="1" t="str">
        <f>D$502</f>
        <v xml:space="preserve">Thank you, </v>
      </c>
      <c r="E503" s="1" t="str">
        <f>'full warmup'!C1077</f>
        <v/>
      </c>
      <c r="K503" s="3" t="str">
        <f>CONCATENATE('full warmup'!C119," ",'full warmup'!F119)</f>
        <v xml:space="preserve"> </v>
      </c>
      <c r="O503" s="1">
        <f>'full warmup'!C119</f>
        <v>0</v>
      </c>
      <c r="R503" s="4" t="str">
        <f>IF(W503&gt;0,CONCATENATE(U503,V503,W503,X503,Y503,Z503),S503)</f>
        <v xml:space="preserve">Thank you, , for participating in my wellness warmup exercise. Your preliminary responsiveness to needs scored %. </v>
      </c>
      <c r="S503" s="6" t="s">
        <v>321</v>
      </c>
      <c r="T503" s="6" t="s">
        <v>3</v>
      </c>
      <c r="U503" s="1" t="str">
        <f>C503</f>
        <v xml:space="preserve">Thank you, </v>
      </c>
      <c r="V503" s="1" t="s">
        <v>219</v>
      </c>
      <c r="W503" s="1" t="str">
        <f>IF(O503=0,"",ROUNDUP(('full warmup'!M119*100),0))</f>
        <v/>
      </c>
      <c r="X503" s="1" t="s">
        <v>8</v>
      </c>
      <c r="Y503" s="1" t="str">
        <f>IF(W503&lt;100,"Together, we can improve this score.",IF(W503=100,"Together, we can sustain this score.",IF(W503="","")))</f>
        <v/>
      </c>
      <c r="AA503" s="6" t="s">
        <v>3</v>
      </c>
      <c r="AB503" s="90" t="str">
        <f t="shared" ref="AB503" si="0">CONCATENATE(AC503,AD503)</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3" s="3" t="s">
        <v>165</v>
      </c>
      <c r="AD503" s="91" t="s">
        <v>3</v>
      </c>
      <c r="AE503" s="90" t="s">
        <v>166</v>
      </c>
      <c r="AF503" s="90" t="str">
        <f>'full warmup'!T1077</f>
        <v>At the moment, my wellness goal is still evolving.</v>
      </c>
      <c r="AG503" s="90" t="s">
        <v>167</v>
      </c>
      <c r="AH503" s="91" t="s">
        <v>3</v>
      </c>
      <c r="AI503" s="90" t="s">
        <v>168</v>
      </c>
      <c r="AJ503" s="3" t="s">
        <v>3</v>
      </c>
      <c r="AK503" s="90" t="str">
        <f>CONCATENATE(AL503,AM503,AN503,AO503,AP503)</f>
        <v>Think about it for a while. I will get back to you when you're ready to decide to be more need-responsive and pursue greater wellness along with me. Thank you, 0, for everything.</v>
      </c>
      <c r="AL503" s="3" t="s">
        <v>169</v>
      </c>
      <c r="AM503" s="3">
        <f>O503</f>
        <v>0</v>
      </c>
      <c r="AN503" s="3" t="s">
        <v>170</v>
      </c>
      <c r="AO503" s="3"/>
      <c r="AP503" s="2"/>
      <c r="AQ503" s="141"/>
      <c r="AT503" s="3"/>
    </row>
    <row r="504" spans="2:46" hidden="1" x14ac:dyDescent="0.3">
      <c r="B504" s="1">
        <v>2</v>
      </c>
      <c r="C504" s="4" t="str">
        <f t="shared" ref="C504:C522" si="1">CONCATENATE(D504,E504)</f>
        <v xml:space="preserve">Thank you, </v>
      </c>
      <c r="D504" s="1" t="str">
        <f t="shared" ref="D504:D522" si="2">D$502</f>
        <v xml:space="preserve">Thank you, </v>
      </c>
      <c r="E504" s="1" t="str">
        <f>'full warmup'!C1078</f>
        <v/>
      </c>
      <c r="K504" s="3" t="str">
        <f>CONCATENATE('full warmup'!C120," ",'full warmup'!F120)</f>
        <v xml:space="preserve"> </v>
      </c>
      <c r="O504" s="1">
        <f>'full warmup'!C120</f>
        <v>0</v>
      </c>
      <c r="R504" s="4" t="str">
        <f t="shared" ref="R504:R522" si="3">IF(W504&gt;0,CONCATENATE(U504,V504,W504,X504,Y504,Z504),S504)</f>
        <v xml:space="preserve">Thank you, , for participating in my wellness warmup exercise. Your preliminary responsiveness to needs scored %. </v>
      </c>
      <c r="S504" s="6" t="s">
        <v>321</v>
      </c>
      <c r="T504" s="6" t="s">
        <v>3</v>
      </c>
      <c r="U504" s="1" t="str">
        <f t="shared" ref="U504:U522" si="4">C504</f>
        <v xml:space="preserve">Thank you, </v>
      </c>
      <c r="V504" s="1" t="s">
        <v>219</v>
      </c>
      <c r="W504" s="1" t="str">
        <f>IF(O504=0,"",ROUNDUP(('full warmup'!M120*100),0))</f>
        <v/>
      </c>
      <c r="X504" s="1" t="s">
        <v>8</v>
      </c>
      <c r="Y504" s="1" t="str">
        <f t="shared" ref="Y504:Y522" si="5">IF(W504&lt;100,"Together, we can improve this score.",IF(W504=100,"Together, we can sustain this score.",IF(W504="","")))</f>
        <v/>
      </c>
      <c r="AA504" s="6" t="s">
        <v>3</v>
      </c>
      <c r="AB504" s="90" t="str">
        <f t="shared" ref="AB504:AB522" si="6">CONCATENATE(AC504,AD504)</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4" s="3" t="s">
        <v>165</v>
      </c>
      <c r="AD504" s="91" t="s">
        <v>3</v>
      </c>
      <c r="AE504" s="90" t="s">
        <v>166</v>
      </c>
      <c r="AF504" s="90" t="str">
        <f>'full warmup'!T1078</f>
        <v>At the moment, my wellness goal is still evolving.</v>
      </c>
      <c r="AG504" s="90" t="s">
        <v>167</v>
      </c>
      <c r="AH504" s="91" t="s">
        <v>3</v>
      </c>
      <c r="AI504" s="90" t="s">
        <v>168</v>
      </c>
      <c r="AJ504" s="3" t="s">
        <v>3</v>
      </c>
      <c r="AK504" s="90" t="str">
        <f t="shared" ref="AK504:AK522" si="7">CONCATENATE(AL504,AM504,AN504,AO504,AP504)</f>
        <v>Think about it for a while. I will get back to you when you're ready to decide to be more need-responsive and pursue greater wellness along with me. Thank you, 0, for everything.</v>
      </c>
      <c r="AL504" s="3" t="s">
        <v>169</v>
      </c>
      <c r="AM504" s="3">
        <f t="shared" ref="AM504:AM522" si="8">O504</f>
        <v>0</v>
      </c>
      <c r="AN504" s="3" t="s">
        <v>170</v>
      </c>
      <c r="AO504" s="3"/>
      <c r="AQ504" s="141"/>
    </row>
    <row r="505" spans="2:46" hidden="1" x14ac:dyDescent="0.3">
      <c r="B505" s="1">
        <v>3</v>
      </c>
      <c r="C505" s="4" t="str">
        <f t="shared" si="1"/>
        <v xml:space="preserve">Thank you, </v>
      </c>
      <c r="D505" s="1" t="str">
        <f t="shared" si="2"/>
        <v xml:space="preserve">Thank you, </v>
      </c>
      <c r="E505" s="1" t="str">
        <f>'full warmup'!C1079</f>
        <v/>
      </c>
      <c r="K505" s="3" t="str">
        <f>CONCATENATE('full warmup'!C121," ",'full warmup'!F121)</f>
        <v xml:space="preserve"> </v>
      </c>
      <c r="O505" s="1">
        <f>'full warmup'!C121</f>
        <v>0</v>
      </c>
      <c r="R505" s="4" t="str">
        <f t="shared" si="3"/>
        <v xml:space="preserve">Thank you, , for participating in my wellness warmup exercise. Your preliminary responsiveness to needs scored %. </v>
      </c>
      <c r="S505" s="6" t="s">
        <v>321</v>
      </c>
      <c r="T505" s="6" t="s">
        <v>3</v>
      </c>
      <c r="U505" s="1" t="str">
        <f t="shared" si="4"/>
        <v xml:space="preserve">Thank you, </v>
      </c>
      <c r="V505" s="1" t="s">
        <v>219</v>
      </c>
      <c r="W505" s="1" t="str">
        <f>IF(O505=0,"",ROUNDUP(('full warmup'!M121*100),0))</f>
        <v/>
      </c>
      <c r="X505" s="1" t="s">
        <v>8</v>
      </c>
      <c r="Y505" s="1" t="str">
        <f t="shared" si="5"/>
        <v/>
      </c>
      <c r="AA505" s="6" t="s">
        <v>3</v>
      </c>
      <c r="AB505"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5" s="3" t="s">
        <v>165</v>
      </c>
      <c r="AD505" s="91" t="s">
        <v>3</v>
      </c>
      <c r="AE505" s="90" t="s">
        <v>166</v>
      </c>
      <c r="AF505" s="90" t="str">
        <f>'full warmup'!T1079</f>
        <v>At the moment, my wellness goal is still evolving.</v>
      </c>
      <c r="AG505" s="90" t="s">
        <v>167</v>
      </c>
      <c r="AH505" s="91" t="s">
        <v>3</v>
      </c>
      <c r="AI505" s="90" t="s">
        <v>168</v>
      </c>
      <c r="AJ505" s="3" t="s">
        <v>3</v>
      </c>
      <c r="AK505" s="90" t="str">
        <f t="shared" si="7"/>
        <v>Think about it for a while. I will get back to you when you're ready to decide to be more need-responsive and pursue greater wellness along with me. Thank you, 0, for everything.</v>
      </c>
      <c r="AL505" s="3" t="s">
        <v>169</v>
      </c>
      <c r="AM505" s="3">
        <f t="shared" si="8"/>
        <v>0</v>
      </c>
      <c r="AN505" s="3" t="s">
        <v>170</v>
      </c>
      <c r="AO505" s="3"/>
    </row>
    <row r="506" spans="2:46" hidden="1" x14ac:dyDescent="0.3">
      <c r="B506" s="1">
        <v>4</v>
      </c>
      <c r="C506" s="4" t="str">
        <f t="shared" si="1"/>
        <v xml:space="preserve">Thank you, </v>
      </c>
      <c r="D506" s="1" t="str">
        <f t="shared" si="2"/>
        <v xml:space="preserve">Thank you, </v>
      </c>
      <c r="E506" s="1" t="str">
        <f>'full warmup'!C1080</f>
        <v/>
      </c>
      <c r="K506" s="3" t="str">
        <f>CONCATENATE('full warmup'!C122," ",'full warmup'!F122)</f>
        <v xml:space="preserve"> </v>
      </c>
      <c r="O506" s="1">
        <f>'full warmup'!C122</f>
        <v>0</v>
      </c>
      <c r="R506" s="4" t="str">
        <f t="shared" si="3"/>
        <v xml:space="preserve">Thank you, , for participating in my wellness warmup exercise. Your preliminary responsiveness to needs scored %. </v>
      </c>
      <c r="S506" s="6" t="s">
        <v>321</v>
      </c>
      <c r="T506" s="6" t="s">
        <v>3</v>
      </c>
      <c r="U506" s="1" t="str">
        <f t="shared" si="4"/>
        <v xml:space="preserve">Thank you, </v>
      </c>
      <c r="V506" s="1" t="s">
        <v>219</v>
      </c>
      <c r="W506" s="1" t="str">
        <f>IF(O506=0,"",ROUNDUP(('full warmup'!M122*100),0))</f>
        <v/>
      </c>
      <c r="X506" s="1" t="s">
        <v>8</v>
      </c>
      <c r="Y506" s="1" t="str">
        <f t="shared" si="5"/>
        <v/>
      </c>
      <c r="AA506" s="6" t="s">
        <v>3</v>
      </c>
      <c r="AB506"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6" s="3" t="s">
        <v>165</v>
      </c>
      <c r="AD506" s="91" t="s">
        <v>3</v>
      </c>
      <c r="AE506" s="90" t="s">
        <v>166</v>
      </c>
      <c r="AF506" s="90" t="str">
        <f>'full warmup'!T1080</f>
        <v>At the moment, my wellness goal is still evolving.</v>
      </c>
      <c r="AG506" s="90" t="s">
        <v>167</v>
      </c>
      <c r="AH506" s="91" t="s">
        <v>3</v>
      </c>
      <c r="AI506" s="90" t="s">
        <v>168</v>
      </c>
      <c r="AJ506" s="3" t="s">
        <v>3</v>
      </c>
      <c r="AK506" s="90" t="str">
        <f t="shared" si="7"/>
        <v>Think about it for a while. I will get back to you when you're ready to decide to be more need-responsive and pursue greater wellness along with me. Thank you, 0, for everything.</v>
      </c>
      <c r="AL506" s="3" t="s">
        <v>169</v>
      </c>
      <c r="AM506" s="3">
        <f t="shared" si="8"/>
        <v>0</v>
      </c>
      <c r="AN506" s="3" t="s">
        <v>170</v>
      </c>
      <c r="AO506" s="3"/>
    </row>
    <row r="507" spans="2:46" hidden="1" x14ac:dyDescent="0.3">
      <c r="B507" s="1">
        <v>5</v>
      </c>
      <c r="C507" s="4" t="str">
        <f t="shared" si="1"/>
        <v xml:space="preserve">Thank you, </v>
      </c>
      <c r="D507" s="1" t="str">
        <f t="shared" si="2"/>
        <v xml:space="preserve">Thank you, </v>
      </c>
      <c r="E507" s="1" t="str">
        <f>'full warmup'!C1081</f>
        <v/>
      </c>
      <c r="K507" s="3" t="str">
        <f>CONCATENATE('full warmup'!C123," ",'full warmup'!F123)</f>
        <v xml:space="preserve"> </v>
      </c>
      <c r="O507" s="1">
        <f>'full warmup'!C123</f>
        <v>0</v>
      </c>
      <c r="R507" s="4" t="str">
        <f t="shared" si="3"/>
        <v xml:space="preserve">Thank you, , for participating in my wellness warmup exercise. Your preliminary responsiveness to needs scored %. </v>
      </c>
      <c r="S507" s="6" t="s">
        <v>321</v>
      </c>
      <c r="T507" s="6" t="s">
        <v>3</v>
      </c>
      <c r="U507" s="1" t="str">
        <f t="shared" si="4"/>
        <v xml:space="preserve">Thank you, </v>
      </c>
      <c r="V507" s="1" t="s">
        <v>219</v>
      </c>
      <c r="W507" s="1" t="str">
        <f>IF(O507=0,"",ROUNDUP(('full warmup'!M123*100),0))</f>
        <v/>
      </c>
      <c r="X507" s="1" t="s">
        <v>8</v>
      </c>
      <c r="Y507" s="1" t="str">
        <f t="shared" si="5"/>
        <v/>
      </c>
      <c r="AA507" s="6" t="s">
        <v>3</v>
      </c>
      <c r="AB507"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7" s="3" t="s">
        <v>165</v>
      </c>
      <c r="AD507" s="91" t="s">
        <v>3</v>
      </c>
      <c r="AE507" s="90" t="s">
        <v>166</v>
      </c>
      <c r="AF507" s="90" t="str">
        <f>'full warmup'!T1081</f>
        <v>At the moment, my wellness goal is still evolving.</v>
      </c>
      <c r="AG507" s="90" t="s">
        <v>167</v>
      </c>
      <c r="AH507" s="91" t="s">
        <v>3</v>
      </c>
      <c r="AI507" s="90" t="s">
        <v>168</v>
      </c>
      <c r="AJ507" s="3" t="s">
        <v>3</v>
      </c>
      <c r="AK507" s="90" t="str">
        <f t="shared" si="7"/>
        <v>Think about it for a while. I will get back to you when you're ready to decide to be more need-responsive and pursue greater wellness along with me. Thank you, 0, for everything.</v>
      </c>
      <c r="AL507" s="3" t="s">
        <v>169</v>
      </c>
      <c r="AM507" s="3">
        <f t="shared" si="8"/>
        <v>0</v>
      </c>
      <c r="AN507" s="3" t="s">
        <v>170</v>
      </c>
      <c r="AO507" s="3"/>
    </row>
    <row r="508" spans="2:46" hidden="1" x14ac:dyDescent="0.3">
      <c r="B508" s="1">
        <v>6</v>
      </c>
      <c r="C508" s="4" t="str">
        <f t="shared" si="1"/>
        <v xml:space="preserve">Thank you, </v>
      </c>
      <c r="D508" s="1" t="str">
        <f t="shared" si="2"/>
        <v xml:space="preserve">Thank you, </v>
      </c>
      <c r="E508" s="1" t="str">
        <f>'full warmup'!C1082</f>
        <v/>
      </c>
      <c r="K508" s="3" t="str">
        <f>CONCATENATE('full warmup'!C124," ",'full warmup'!F124)</f>
        <v xml:space="preserve"> </v>
      </c>
      <c r="O508" s="1">
        <f>'full warmup'!C124</f>
        <v>0</v>
      </c>
      <c r="R508" s="4" t="str">
        <f t="shared" si="3"/>
        <v xml:space="preserve">Thank you, , for participating in my wellness warmup exercise. Your preliminary responsiveness to needs scored %. </v>
      </c>
      <c r="S508" s="6" t="s">
        <v>321</v>
      </c>
      <c r="T508" s="6" t="s">
        <v>3</v>
      </c>
      <c r="U508" s="1" t="str">
        <f t="shared" si="4"/>
        <v xml:space="preserve">Thank you, </v>
      </c>
      <c r="V508" s="1" t="s">
        <v>219</v>
      </c>
      <c r="W508" s="1" t="str">
        <f>IF(O508=0,"",ROUNDUP(('full warmup'!M124*100),0))</f>
        <v/>
      </c>
      <c r="X508" s="1" t="s">
        <v>8</v>
      </c>
      <c r="Y508" s="1" t="str">
        <f t="shared" si="5"/>
        <v/>
      </c>
      <c r="AA508" s="6" t="s">
        <v>3</v>
      </c>
      <c r="AB508"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8" s="3" t="s">
        <v>165</v>
      </c>
      <c r="AD508" s="91" t="s">
        <v>3</v>
      </c>
      <c r="AE508" s="90" t="s">
        <v>166</v>
      </c>
      <c r="AF508" s="90" t="str">
        <f>'full warmup'!T1082</f>
        <v>At the moment, my wellness goal is still evolving.</v>
      </c>
      <c r="AG508" s="90" t="s">
        <v>167</v>
      </c>
      <c r="AH508" s="91" t="s">
        <v>3</v>
      </c>
      <c r="AI508" s="90" t="s">
        <v>168</v>
      </c>
      <c r="AJ508" s="3" t="s">
        <v>3</v>
      </c>
      <c r="AK508" s="90" t="str">
        <f t="shared" si="7"/>
        <v>Think about it for a while. I will get back to you when you're ready to decide to be more need-responsive and pursue greater wellness along with me. Thank you, 0, for everything.</v>
      </c>
      <c r="AL508" s="3" t="s">
        <v>169</v>
      </c>
      <c r="AM508" s="3">
        <f t="shared" si="8"/>
        <v>0</v>
      </c>
      <c r="AN508" s="3" t="s">
        <v>170</v>
      </c>
      <c r="AO508" s="3"/>
    </row>
    <row r="509" spans="2:46" hidden="1" x14ac:dyDescent="0.3">
      <c r="B509" s="1">
        <v>7</v>
      </c>
      <c r="C509" s="4" t="str">
        <f>IF(O509=0,"",CONCATENATE(D509,E509))</f>
        <v/>
      </c>
      <c r="D509" s="1" t="str">
        <f t="shared" si="2"/>
        <v xml:space="preserve">Thank you, </v>
      </c>
      <c r="E509" s="1" t="str">
        <f>'full warmup'!C1083</f>
        <v/>
      </c>
      <c r="K509" s="3" t="str">
        <f>CONCATENATE('full warmup'!C125," ",'full warmup'!F125)</f>
        <v xml:space="preserve"> </v>
      </c>
      <c r="O509" s="1">
        <f>'full warmup'!C125</f>
        <v>0</v>
      </c>
      <c r="R509" s="4" t="str">
        <f t="shared" si="3"/>
        <v xml:space="preserve">, for participating in my wellness warmup exercise. Your preliminary responsiveness to needs scored %. </v>
      </c>
      <c r="S509" s="6" t="s">
        <v>321</v>
      </c>
      <c r="T509" s="6" t="s">
        <v>3</v>
      </c>
      <c r="U509" s="1" t="str">
        <f t="shared" si="4"/>
        <v/>
      </c>
      <c r="V509" s="1" t="s">
        <v>219</v>
      </c>
      <c r="W509" s="1" t="str">
        <f>IF(O509=0,"",ROUNDUP(('full warmup'!M125*100),0))</f>
        <v/>
      </c>
      <c r="X509" s="1" t="s">
        <v>8</v>
      </c>
      <c r="Y509" s="1" t="str">
        <f t="shared" si="5"/>
        <v/>
      </c>
      <c r="AA509" s="6" t="s">
        <v>3</v>
      </c>
      <c r="AB509"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09" s="3" t="s">
        <v>165</v>
      </c>
      <c r="AD509" s="91" t="s">
        <v>3</v>
      </c>
      <c r="AE509" s="90" t="s">
        <v>166</v>
      </c>
      <c r="AF509" s="90" t="str">
        <f>'full warmup'!T1083</f>
        <v>At the moment, my wellness goal is still evolving.</v>
      </c>
      <c r="AG509" s="90" t="s">
        <v>167</v>
      </c>
      <c r="AH509" s="91" t="s">
        <v>3</v>
      </c>
      <c r="AI509" s="90" t="s">
        <v>168</v>
      </c>
      <c r="AJ509" s="3" t="s">
        <v>3</v>
      </c>
      <c r="AK509" s="90" t="str">
        <f t="shared" si="7"/>
        <v>Think about it for a while. I will get back to you when you're ready to decide to be more need-responsive and pursue greater wellness along with me. Thank you, 0, for everything.</v>
      </c>
      <c r="AL509" s="3" t="s">
        <v>169</v>
      </c>
      <c r="AM509" s="3">
        <f t="shared" si="8"/>
        <v>0</v>
      </c>
      <c r="AN509" s="3" t="s">
        <v>170</v>
      </c>
      <c r="AO509" s="3"/>
    </row>
    <row r="510" spans="2:46" hidden="1" x14ac:dyDescent="0.3">
      <c r="B510" s="1">
        <v>8</v>
      </c>
      <c r="C510" s="4" t="str">
        <f t="shared" si="1"/>
        <v xml:space="preserve">Thank you, </v>
      </c>
      <c r="D510" s="1" t="str">
        <f t="shared" si="2"/>
        <v xml:space="preserve">Thank you, </v>
      </c>
      <c r="E510" s="1" t="str">
        <f>'full warmup'!C1084</f>
        <v/>
      </c>
      <c r="K510" s="3" t="str">
        <f>CONCATENATE('full warmup'!C126," ",'full warmup'!F126)</f>
        <v xml:space="preserve"> </v>
      </c>
      <c r="O510" s="1">
        <f>'full warmup'!C126</f>
        <v>0</v>
      </c>
      <c r="R510" s="4" t="str">
        <f t="shared" si="3"/>
        <v xml:space="preserve">Thank you, , for participating in my wellness warmup exercise. Your preliminary responsiveness to needs scored %. </v>
      </c>
      <c r="S510" s="6" t="s">
        <v>321</v>
      </c>
      <c r="T510" s="6" t="s">
        <v>3</v>
      </c>
      <c r="U510" s="1" t="str">
        <f t="shared" si="4"/>
        <v xml:space="preserve">Thank you, </v>
      </c>
      <c r="V510" s="1" t="s">
        <v>219</v>
      </c>
      <c r="W510" s="1" t="str">
        <f>IF(O510=0,"",ROUNDUP(('full warmup'!M126*100),0))</f>
        <v/>
      </c>
      <c r="X510" s="1" t="s">
        <v>8</v>
      </c>
      <c r="Y510" s="1" t="str">
        <f t="shared" si="5"/>
        <v/>
      </c>
      <c r="AA510" s="6" t="s">
        <v>3</v>
      </c>
      <c r="AB510"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0" s="3" t="s">
        <v>165</v>
      </c>
      <c r="AD510" s="91" t="s">
        <v>3</v>
      </c>
      <c r="AE510" s="90" t="s">
        <v>166</v>
      </c>
      <c r="AF510" s="90" t="str">
        <f>'full warmup'!T1084</f>
        <v>At the moment, my wellness goal is still evolving.</v>
      </c>
      <c r="AG510" s="90" t="s">
        <v>167</v>
      </c>
      <c r="AH510" s="91" t="s">
        <v>3</v>
      </c>
      <c r="AI510" s="90" t="s">
        <v>168</v>
      </c>
      <c r="AJ510" s="3" t="s">
        <v>3</v>
      </c>
      <c r="AK510" s="90" t="str">
        <f t="shared" si="7"/>
        <v>Think about it for a while. I will get back to you when you're ready to decide to be more need-responsive and pursue greater wellness along with me. Thank you, 0, for everything.</v>
      </c>
      <c r="AL510" s="3" t="s">
        <v>169</v>
      </c>
      <c r="AM510" s="3">
        <f t="shared" si="8"/>
        <v>0</v>
      </c>
      <c r="AN510" s="3" t="s">
        <v>170</v>
      </c>
      <c r="AO510" s="3"/>
    </row>
    <row r="511" spans="2:46" hidden="1" x14ac:dyDescent="0.3">
      <c r="B511" s="1">
        <v>9</v>
      </c>
      <c r="C511" s="4" t="str">
        <f t="shared" si="1"/>
        <v xml:space="preserve">Thank you, </v>
      </c>
      <c r="D511" s="1" t="str">
        <f t="shared" si="2"/>
        <v xml:space="preserve">Thank you, </v>
      </c>
      <c r="E511" s="1" t="str">
        <f>'full warmup'!C1085</f>
        <v/>
      </c>
      <c r="K511" s="3" t="str">
        <f>CONCATENATE('full warmup'!C127," ",'full warmup'!F127)</f>
        <v xml:space="preserve"> </v>
      </c>
      <c r="O511" s="1">
        <f>'full warmup'!C127</f>
        <v>0</v>
      </c>
      <c r="R511" s="4" t="str">
        <f t="shared" si="3"/>
        <v xml:space="preserve">Thank you, , for participating in my wellness warmup exercise. Your preliminary responsiveness to needs scored %. </v>
      </c>
      <c r="S511" s="6" t="s">
        <v>321</v>
      </c>
      <c r="T511" s="6" t="s">
        <v>3</v>
      </c>
      <c r="U511" s="1" t="str">
        <f t="shared" si="4"/>
        <v xml:space="preserve">Thank you, </v>
      </c>
      <c r="V511" s="1" t="s">
        <v>219</v>
      </c>
      <c r="W511" s="1" t="str">
        <f>IF(O511=0,"",ROUNDUP(('full warmup'!M127*100),0))</f>
        <v/>
      </c>
      <c r="X511" s="1" t="s">
        <v>8</v>
      </c>
      <c r="Y511" s="1" t="str">
        <f t="shared" si="5"/>
        <v/>
      </c>
      <c r="AA511" s="6" t="s">
        <v>3</v>
      </c>
      <c r="AB511"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1" s="3" t="s">
        <v>165</v>
      </c>
      <c r="AD511" s="91" t="s">
        <v>3</v>
      </c>
      <c r="AE511" s="90" t="s">
        <v>166</v>
      </c>
      <c r="AF511" s="90" t="str">
        <f>'full warmup'!T1085</f>
        <v>At the moment, my wellness goal is still evolving.</v>
      </c>
      <c r="AG511" s="90" t="s">
        <v>167</v>
      </c>
      <c r="AH511" s="91" t="s">
        <v>3</v>
      </c>
      <c r="AI511" s="90" t="s">
        <v>168</v>
      </c>
      <c r="AJ511" s="3" t="s">
        <v>3</v>
      </c>
      <c r="AK511" s="90" t="str">
        <f t="shared" si="7"/>
        <v>Think about it for a while. I will get back to you when you're ready to decide to be more need-responsive and pursue greater wellness along with me. Thank you, 0, for everything.</v>
      </c>
      <c r="AL511" s="3" t="s">
        <v>169</v>
      </c>
      <c r="AM511" s="3">
        <f t="shared" si="8"/>
        <v>0</v>
      </c>
      <c r="AN511" s="3" t="s">
        <v>170</v>
      </c>
      <c r="AO511" s="3"/>
    </row>
    <row r="512" spans="2:46" hidden="1" x14ac:dyDescent="0.3">
      <c r="B512" s="1">
        <v>10</v>
      </c>
      <c r="C512" s="4" t="str">
        <f t="shared" si="1"/>
        <v xml:space="preserve">Thank you, </v>
      </c>
      <c r="D512" s="1" t="str">
        <f t="shared" si="2"/>
        <v xml:space="preserve">Thank you, </v>
      </c>
      <c r="E512" s="1" t="str">
        <f>'full warmup'!C1086</f>
        <v/>
      </c>
      <c r="K512" s="3" t="str">
        <f>CONCATENATE('full warmup'!C128," ",'full warmup'!F128)</f>
        <v xml:space="preserve"> </v>
      </c>
      <c r="O512" s="1">
        <f>'full warmup'!C128</f>
        <v>0</v>
      </c>
      <c r="R512" s="4" t="str">
        <f t="shared" si="3"/>
        <v xml:space="preserve">Thank you, , for participating in my wellness warmup exercise. Your preliminary responsiveness to needs scored %. </v>
      </c>
      <c r="S512" s="6" t="s">
        <v>321</v>
      </c>
      <c r="T512" s="6" t="s">
        <v>3</v>
      </c>
      <c r="U512" s="1" t="str">
        <f t="shared" si="4"/>
        <v xml:space="preserve">Thank you, </v>
      </c>
      <c r="V512" s="1" t="s">
        <v>219</v>
      </c>
      <c r="W512" s="1" t="str">
        <f>IF(O512=0,"",ROUNDUP(('full warmup'!M128*100),0))</f>
        <v/>
      </c>
      <c r="X512" s="1" t="s">
        <v>8</v>
      </c>
      <c r="Y512" s="1" t="str">
        <f t="shared" si="5"/>
        <v/>
      </c>
      <c r="AA512" s="6" t="s">
        <v>3</v>
      </c>
      <c r="AB512"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2" s="3" t="s">
        <v>165</v>
      </c>
      <c r="AD512" s="91" t="s">
        <v>3</v>
      </c>
      <c r="AE512" s="90" t="s">
        <v>166</v>
      </c>
      <c r="AF512" s="90" t="str">
        <f>'full warmup'!T1086</f>
        <v>At the moment, my wellness goal is still evolving.</v>
      </c>
      <c r="AG512" s="90" t="s">
        <v>167</v>
      </c>
      <c r="AH512" s="91" t="s">
        <v>3</v>
      </c>
      <c r="AI512" s="90" t="s">
        <v>168</v>
      </c>
      <c r="AJ512" s="3" t="s">
        <v>3</v>
      </c>
      <c r="AK512" s="90" t="str">
        <f t="shared" si="7"/>
        <v>Think about it for a while. I will get back to you when you're ready to decide to be more need-responsive and pursue greater wellness along with me. Thank you, 0, for everything.</v>
      </c>
      <c r="AL512" s="3" t="s">
        <v>169</v>
      </c>
      <c r="AM512" s="3">
        <f t="shared" si="8"/>
        <v>0</v>
      </c>
      <c r="AN512" s="3" t="s">
        <v>170</v>
      </c>
      <c r="AO512" s="3"/>
    </row>
    <row r="513" spans="2:41" hidden="1" x14ac:dyDescent="0.3">
      <c r="B513" s="1">
        <v>11</v>
      </c>
      <c r="C513" s="4" t="str">
        <f t="shared" si="1"/>
        <v xml:space="preserve">Thank you, </v>
      </c>
      <c r="D513" s="1" t="str">
        <f t="shared" si="2"/>
        <v xml:space="preserve">Thank you, </v>
      </c>
      <c r="E513" s="1" t="str">
        <f>'full warmup'!C1087</f>
        <v/>
      </c>
      <c r="K513" s="3" t="str">
        <f>CONCATENATE('full warmup'!C129," ",'full warmup'!F129)</f>
        <v xml:space="preserve"> </v>
      </c>
      <c r="O513" s="1">
        <f>'full warmup'!C129</f>
        <v>0</v>
      </c>
      <c r="R513" s="4" t="str">
        <f t="shared" si="3"/>
        <v xml:space="preserve">Thank you, , for participating in my wellness warmup exercise. Your preliminary responsiveness to needs scored %. </v>
      </c>
      <c r="S513" s="6" t="s">
        <v>321</v>
      </c>
      <c r="T513" s="6" t="s">
        <v>3</v>
      </c>
      <c r="U513" s="1" t="str">
        <f t="shared" si="4"/>
        <v xml:space="preserve">Thank you, </v>
      </c>
      <c r="V513" s="1" t="s">
        <v>219</v>
      </c>
      <c r="W513" s="1" t="str">
        <f>IF(O513=0,"",ROUNDUP(('full warmup'!M129*100),0))</f>
        <v/>
      </c>
      <c r="X513" s="1" t="s">
        <v>8</v>
      </c>
      <c r="Y513" s="1" t="str">
        <f t="shared" si="5"/>
        <v/>
      </c>
      <c r="AA513" s="6" t="s">
        <v>3</v>
      </c>
      <c r="AB513"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3" s="3" t="s">
        <v>165</v>
      </c>
      <c r="AD513" s="91" t="s">
        <v>3</v>
      </c>
      <c r="AE513" s="90" t="s">
        <v>166</v>
      </c>
      <c r="AF513" s="90" t="str">
        <f>'full warmup'!T1087</f>
        <v>At the moment, my wellness goal is still evolving.</v>
      </c>
      <c r="AG513" s="90" t="s">
        <v>167</v>
      </c>
      <c r="AH513" s="91" t="s">
        <v>3</v>
      </c>
      <c r="AI513" s="90" t="s">
        <v>168</v>
      </c>
      <c r="AJ513" s="3" t="s">
        <v>3</v>
      </c>
      <c r="AK513" s="90" t="str">
        <f t="shared" si="7"/>
        <v>Think about it for a while. I will get back to you when you're ready to decide to be more need-responsive and pursue greater wellness along with me. Thank you, 0, for everything.</v>
      </c>
      <c r="AL513" s="3" t="s">
        <v>169</v>
      </c>
      <c r="AM513" s="3">
        <f t="shared" si="8"/>
        <v>0</v>
      </c>
      <c r="AN513" s="3" t="s">
        <v>170</v>
      </c>
      <c r="AO513" s="3"/>
    </row>
    <row r="514" spans="2:41" hidden="1" x14ac:dyDescent="0.3">
      <c r="B514" s="1">
        <v>12</v>
      </c>
      <c r="C514" s="4" t="str">
        <f t="shared" si="1"/>
        <v xml:space="preserve">Thank you, </v>
      </c>
      <c r="D514" s="1" t="str">
        <f t="shared" si="2"/>
        <v xml:space="preserve">Thank you, </v>
      </c>
      <c r="E514" s="1" t="str">
        <f>'full warmup'!C1088</f>
        <v/>
      </c>
      <c r="K514" s="3" t="str">
        <f>CONCATENATE('full warmup'!C130," ",'full warmup'!F130)</f>
        <v xml:space="preserve"> </v>
      </c>
      <c r="O514" s="1">
        <f>'full warmup'!C130</f>
        <v>0</v>
      </c>
      <c r="R514" s="4" t="str">
        <f t="shared" si="3"/>
        <v xml:space="preserve">Thank you, , for participating in my wellness warmup exercise. Your preliminary responsiveness to needs scored %. </v>
      </c>
      <c r="S514" s="6" t="s">
        <v>321</v>
      </c>
      <c r="T514" s="6" t="s">
        <v>3</v>
      </c>
      <c r="U514" s="1" t="str">
        <f t="shared" si="4"/>
        <v xml:space="preserve">Thank you, </v>
      </c>
      <c r="V514" s="1" t="s">
        <v>219</v>
      </c>
      <c r="W514" s="1" t="str">
        <f>IF(O514=0,"",ROUNDUP(('full warmup'!M130*100),0))</f>
        <v/>
      </c>
      <c r="X514" s="1" t="s">
        <v>8</v>
      </c>
      <c r="Y514" s="1" t="str">
        <f t="shared" si="5"/>
        <v/>
      </c>
      <c r="AA514" s="6" t="s">
        <v>3</v>
      </c>
      <c r="AB514"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4" s="3" t="s">
        <v>165</v>
      </c>
      <c r="AD514" s="91" t="s">
        <v>3</v>
      </c>
      <c r="AE514" s="90" t="s">
        <v>166</v>
      </c>
      <c r="AF514" s="90" t="str">
        <f>'full warmup'!T1088</f>
        <v>At the moment, my wellness goal is still evolving.</v>
      </c>
      <c r="AG514" s="90" t="s">
        <v>167</v>
      </c>
      <c r="AH514" s="91" t="s">
        <v>3</v>
      </c>
      <c r="AI514" s="90" t="s">
        <v>168</v>
      </c>
      <c r="AJ514" s="3" t="s">
        <v>3</v>
      </c>
      <c r="AK514" s="90" t="str">
        <f t="shared" si="7"/>
        <v>Think about it for a while. I will get back to you when you're ready to decide to be more need-responsive and pursue greater wellness along with me. Thank you, 0, for everything.</v>
      </c>
      <c r="AL514" s="3" t="s">
        <v>169</v>
      </c>
      <c r="AM514" s="3">
        <f t="shared" si="8"/>
        <v>0</v>
      </c>
      <c r="AN514" s="3" t="s">
        <v>170</v>
      </c>
      <c r="AO514" s="3"/>
    </row>
    <row r="515" spans="2:41" hidden="1" x14ac:dyDescent="0.3">
      <c r="B515" s="1">
        <v>13</v>
      </c>
      <c r="C515" s="4" t="str">
        <f t="shared" si="1"/>
        <v xml:space="preserve">Thank you, </v>
      </c>
      <c r="D515" s="1" t="str">
        <f t="shared" si="2"/>
        <v xml:space="preserve">Thank you, </v>
      </c>
      <c r="E515" s="1" t="str">
        <f>'full warmup'!C1089</f>
        <v/>
      </c>
      <c r="K515" s="3" t="str">
        <f>CONCATENATE('full warmup'!C131," ",'full warmup'!F131)</f>
        <v xml:space="preserve"> </v>
      </c>
      <c r="O515" s="1">
        <f>'full warmup'!C131</f>
        <v>0</v>
      </c>
      <c r="R515" s="4" t="str">
        <f t="shared" si="3"/>
        <v xml:space="preserve">Thank you, , for participating in my wellness warmup exercise. Your preliminary responsiveness to needs scored %. </v>
      </c>
      <c r="S515" s="6" t="s">
        <v>321</v>
      </c>
      <c r="T515" s="6" t="s">
        <v>3</v>
      </c>
      <c r="U515" s="1" t="str">
        <f t="shared" si="4"/>
        <v xml:space="preserve">Thank you, </v>
      </c>
      <c r="V515" s="1" t="s">
        <v>219</v>
      </c>
      <c r="W515" s="1" t="str">
        <f>IF(O515=0,"",ROUNDUP(('full warmup'!M131*100),0))</f>
        <v/>
      </c>
      <c r="X515" s="1" t="s">
        <v>8</v>
      </c>
      <c r="Y515" s="1" t="str">
        <f t="shared" si="5"/>
        <v/>
      </c>
      <c r="AA515" s="6" t="s">
        <v>3</v>
      </c>
      <c r="AB515"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5" s="3" t="s">
        <v>165</v>
      </c>
      <c r="AD515" s="91" t="s">
        <v>3</v>
      </c>
      <c r="AE515" s="90" t="s">
        <v>166</v>
      </c>
      <c r="AF515" s="90" t="str">
        <f>'full warmup'!T1089</f>
        <v>At the moment, my wellness goal is still evolving.</v>
      </c>
      <c r="AG515" s="90" t="s">
        <v>167</v>
      </c>
      <c r="AH515" s="91" t="s">
        <v>3</v>
      </c>
      <c r="AI515" s="90" t="s">
        <v>168</v>
      </c>
      <c r="AJ515" s="3" t="s">
        <v>3</v>
      </c>
      <c r="AK515" s="90" t="str">
        <f t="shared" si="7"/>
        <v>Think about it for a while. I will get back to you when you're ready to decide to be more need-responsive and pursue greater wellness along with me. Thank you, 0, for everything.</v>
      </c>
      <c r="AL515" s="3" t="s">
        <v>169</v>
      </c>
      <c r="AM515" s="3">
        <f t="shared" si="8"/>
        <v>0</v>
      </c>
      <c r="AN515" s="3" t="s">
        <v>170</v>
      </c>
      <c r="AO515" s="3"/>
    </row>
    <row r="516" spans="2:41" hidden="1" x14ac:dyDescent="0.3">
      <c r="B516" s="1">
        <v>14</v>
      </c>
      <c r="C516" s="4" t="str">
        <f t="shared" si="1"/>
        <v xml:space="preserve">Thank you, </v>
      </c>
      <c r="D516" s="1" t="str">
        <f t="shared" si="2"/>
        <v xml:space="preserve">Thank you, </v>
      </c>
      <c r="E516" s="1" t="str">
        <f>'full warmup'!C1090</f>
        <v/>
      </c>
      <c r="K516" s="3" t="str">
        <f>CONCATENATE('full warmup'!C132," ",'full warmup'!F132)</f>
        <v xml:space="preserve"> </v>
      </c>
      <c r="O516" s="1">
        <f>'full warmup'!C132</f>
        <v>0</v>
      </c>
      <c r="R516" s="4" t="str">
        <f t="shared" si="3"/>
        <v xml:space="preserve">Thank you, , for participating in my wellness warmup exercise. Your preliminary responsiveness to needs scored %. </v>
      </c>
      <c r="S516" s="6" t="s">
        <v>321</v>
      </c>
      <c r="T516" s="6" t="s">
        <v>3</v>
      </c>
      <c r="U516" s="1" t="str">
        <f t="shared" si="4"/>
        <v xml:space="preserve">Thank you, </v>
      </c>
      <c r="V516" s="1" t="s">
        <v>219</v>
      </c>
      <c r="W516" s="1" t="str">
        <f>IF(O516=0,"",ROUNDUP(('full warmup'!M132*100),0))</f>
        <v/>
      </c>
      <c r="X516" s="1" t="s">
        <v>8</v>
      </c>
      <c r="Y516" s="1" t="str">
        <f t="shared" si="5"/>
        <v/>
      </c>
      <c r="AA516" s="6" t="s">
        <v>3</v>
      </c>
      <c r="AB516"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6" s="3" t="s">
        <v>165</v>
      </c>
      <c r="AD516" s="91" t="s">
        <v>3</v>
      </c>
      <c r="AE516" s="90" t="s">
        <v>166</v>
      </c>
      <c r="AF516" s="90" t="str">
        <f>'full warmup'!T1090</f>
        <v>At the moment, my wellness goal is still evolving.</v>
      </c>
      <c r="AG516" s="90" t="s">
        <v>167</v>
      </c>
      <c r="AH516" s="91" t="s">
        <v>3</v>
      </c>
      <c r="AI516" s="90" t="s">
        <v>168</v>
      </c>
      <c r="AJ516" s="3" t="s">
        <v>3</v>
      </c>
      <c r="AK516" s="90" t="str">
        <f t="shared" si="7"/>
        <v>Think about it for a while. I will get back to you when you're ready to decide to be more need-responsive and pursue greater wellness along with me. Thank you, 0, for everything.</v>
      </c>
      <c r="AL516" s="3" t="s">
        <v>169</v>
      </c>
      <c r="AM516" s="3">
        <f t="shared" si="8"/>
        <v>0</v>
      </c>
      <c r="AN516" s="3" t="s">
        <v>170</v>
      </c>
      <c r="AO516" s="3"/>
    </row>
    <row r="517" spans="2:41" hidden="1" x14ac:dyDescent="0.3">
      <c r="B517" s="1">
        <v>15</v>
      </c>
      <c r="C517" s="4" t="str">
        <f t="shared" si="1"/>
        <v xml:space="preserve">Thank you, </v>
      </c>
      <c r="D517" s="1" t="str">
        <f t="shared" si="2"/>
        <v xml:space="preserve">Thank you, </v>
      </c>
      <c r="E517" s="1" t="str">
        <f>'full warmup'!C1091</f>
        <v/>
      </c>
      <c r="K517" s="3" t="str">
        <f>CONCATENATE('full warmup'!C133," ",'full warmup'!F133)</f>
        <v xml:space="preserve"> </v>
      </c>
      <c r="O517" s="1">
        <f>'full warmup'!C133</f>
        <v>0</v>
      </c>
      <c r="R517" s="4" t="str">
        <f t="shared" si="3"/>
        <v xml:space="preserve">Thank you, , for participating in my wellness warmup exercise. Your preliminary responsiveness to needs scored %. </v>
      </c>
      <c r="S517" s="6" t="s">
        <v>321</v>
      </c>
      <c r="T517" s="6" t="s">
        <v>3</v>
      </c>
      <c r="U517" s="1" t="str">
        <f t="shared" si="4"/>
        <v xml:space="preserve">Thank you, </v>
      </c>
      <c r="V517" s="1" t="s">
        <v>219</v>
      </c>
      <c r="W517" s="1" t="str">
        <f>IF(O517=0,"",ROUNDUP(('full warmup'!M133*100),0))</f>
        <v/>
      </c>
      <c r="X517" s="1" t="s">
        <v>8</v>
      </c>
      <c r="Y517" s="1" t="str">
        <f t="shared" si="5"/>
        <v/>
      </c>
      <c r="AA517" s="6" t="s">
        <v>3</v>
      </c>
      <c r="AB517"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7" s="3" t="s">
        <v>165</v>
      </c>
      <c r="AD517" s="91" t="s">
        <v>3</v>
      </c>
      <c r="AE517" s="90" t="s">
        <v>166</v>
      </c>
      <c r="AF517" s="90" t="str">
        <f>'full warmup'!T1091</f>
        <v>At the moment, my wellness goal is still evolving.</v>
      </c>
      <c r="AG517" s="90" t="s">
        <v>167</v>
      </c>
      <c r="AH517" s="91" t="s">
        <v>3</v>
      </c>
      <c r="AI517" s="90" t="s">
        <v>168</v>
      </c>
      <c r="AJ517" s="3" t="s">
        <v>3</v>
      </c>
      <c r="AK517" s="90" t="str">
        <f t="shared" si="7"/>
        <v>Think about it for a while. I will get back to you when you're ready to decide to be more need-responsive and pursue greater wellness along with me. Thank you, 0, for everything.</v>
      </c>
      <c r="AL517" s="3" t="s">
        <v>169</v>
      </c>
      <c r="AM517" s="3">
        <f t="shared" si="8"/>
        <v>0</v>
      </c>
      <c r="AN517" s="3" t="s">
        <v>170</v>
      </c>
      <c r="AO517" s="3"/>
    </row>
    <row r="518" spans="2:41" hidden="1" x14ac:dyDescent="0.3">
      <c r="B518" s="1">
        <v>16</v>
      </c>
      <c r="C518" s="4" t="str">
        <f t="shared" si="1"/>
        <v xml:space="preserve">Thank you, </v>
      </c>
      <c r="D518" s="1" t="str">
        <f t="shared" si="2"/>
        <v xml:space="preserve">Thank you, </v>
      </c>
      <c r="E518" s="1" t="str">
        <f>'full warmup'!C1092</f>
        <v/>
      </c>
      <c r="K518" s="3" t="str">
        <f>CONCATENATE('full warmup'!C134," ",'full warmup'!F134)</f>
        <v xml:space="preserve"> </v>
      </c>
      <c r="O518" s="1">
        <f>'full warmup'!C134</f>
        <v>0</v>
      </c>
      <c r="R518" s="4" t="str">
        <f t="shared" si="3"/>
        <v xml:space="preserve">Thank you, , for participating in my wellness warmup exercise. Your preliminary responsiveness to needs scored %. </v>
      </c>
      <c r="S518" s="6" t="s">
        <v>321</v>
      </c>
      <c r="T518" s="6" t="s">
        <v>3</v>
      </c>
      <c r="U518" s="1" t="str">
        <f t="shared" si="4"/>
        <v xml:space="preserve">Thank you, </v>
      </c>
      <c r="V518" s="1" t="s">
        <v>219</v>
      </c>
      <c r="W518" s="1" t="str">
        <f>IF(O518=0,"",ROUNDUP(('full warmup'!M134*100),0))</f>
        <v/>
      </c>
      <c r="X518" s="1" t="s">
        <v>8</v>
      </c>
      <c r="Y518" s="1" t="str">
        <f t="shared" si="5"/>
        <v/>
      </c>
      <c r="AA518" s="6" t="s">
        <v>3</v>
      </c>
      <c r="AB518"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8" s="3" t="s">
        <v>165</v>
      </c>
      <c r="AD518" s="91" t="s">
        <v>3</v>
      </c>
      <c r="AE518" s="90" t="s">
        <v>166</v>
      </c>
      <c r="AF518" s="90" t="str">
        <f>'full warmup'!T1092</f>
        <v>At the moment, my wellness goal is still evolving.</v>
      </c>
      <c r="AG518" s="90" t="s">
        <v>167</v>
      </c>
      <c r="AH518" s="91" t="s">
        <v>3</v>
      </c>
      <c r="AI518" s="90" t="s">
        <v>168</v>
      </c>
      <c r="AJ518" s="3" t="s">
        <v>3</v>
      </c>
      <c r="AK518" s="90" t="str">
        <f t="shared" si="7"/>
        <v>Think about it for a while. I will get back to you when you're ready to decide to be more need-responsive and pursue greater wellness along with me. Thank you, 0, for everything.</v>
      </c>
      <c r="AL518" s="3" t="s">
        <v>169</v>
      </c>
      <c r="AM518" s="3">
        <f t="shared" si="8"/>
        <v>0</v>
      </c>
      <c r="AN518" s="3" t="s">
        <v>170</v>
      </c>
      <c r="AO518" s="3"/>
    </row>
    <row r="519" spans="2:41" hidden="1" x14ac:dyDescent="0.3">
      <c r="B519" s="1">
        <v>17</v>
      </c>
      <c r="C519" s="4" t="str">
        <f t="shared" si="1"/>
        <v xml:space="preserve">Thank you, </v>
      </c>
      <c r="D519" s="1" t="str">
        <f t="shared" si="2"/>
        <v xml:space="preserve">Thank you, </v>
      </c>
      <c r="E519" s="1" t="str">
        <f>'full warmup'!C1093</f>
        <v/>
      </c>
      <c r="K519" s="3" t="str">
        <f>CONCATENATE('full warmup'!C135," ",'full warmup'!F135)</f>
        <v xml:space="preserve"> </v>
      </c>
      <c r="O519" s="1">
        <f>'full warmup'!C135</f>
        <v>0</v>
      </c>
      <c r="R519" s="4" t="str">
        <f t="shared" si="3"/>
        <v xml:space="preserve">Thank you, , for participating in my wellness warmup exercise. Your preliminary responsiveness to needs scored %. </v>
      </c>
      <c r="S519" s="6" t="s">
        <v>321</v>
      </c>
      <c r="T519" s="6" t="s">
        <v>3</v>
      </c>
      <c r="U519" s="1" t="str">
        <f t="shared" si="4"/>
        <v xml:space="preserve">Thank you, </v>
      </c>
      <c r="V519" s="1" t="s">
        <v>219</v>
      </c>
      <c r="W519" s="1" t="str">
        <f>IF(O519=0,"",ROUNDUP(('full warmup'!M135*100),0))</f>
        <v/>
      </c>
      <c r="X519" s="1" t="s">
        <v>8</v>
      </c>
      <c r="Y519" s="1" t="str">
        <f t="shared" si="5"/>
        <v/>
      </c>
      <c r="AA519" s="6" t="s">
        <v>3</v>
      </c>
      <c r="AB519"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19" s="3" t="s">
        <v>165</v>
      </c>
      <c r="AD519" s="91" t="s">
        <v>3</v>
      </c>
      <c r="AE519" s="90" t="s">
        <v>166</v>
      </c>
      <c r="AF519" s="90" t="str">
        <f>'full warmup'!T1093</f>
        <v>At the moment, my wellness goal is still evolving.</v>
      </c>
      <c r="AG519" s="90" t="s">
        <v>167</v>
      </c>
      <c r="AH519" s="91" t="s">
        <v>3</v>
      </c>
      <c r="AI519" s="90" t="s">
        <v>168</v>
      </c>
      <c r="AJ519" s="3" t="s">
        <v>3</v>
      </c>
      <c r="AK519" s="90" t="str">
        <f t="shared" si="7"/>
        <v>Think about it for a while. I will get back to you when you're ready to decide to be more need-responsive and pursue greater wellness along with me. Thank you, 0, for everything.</v>
      </c>
      <c r="AL519" s="3" t="s">
        <v>169</v>
      </c>
      <c r="AM519" s="3">
        <f t="shared" si="8"/>
        <v>0</v>
      </c>
      <c r="AN519" s="3" t="s">
        <v>170</v>
      </c>
      <c r="AO519" s="3"/>
    </row>
    <row r="520" spans="2:41" hidden="1" x14ac:dyDescent="0.3">
      <c r="B520" s="1">
        <v>18</v>
      </c>
      <c r="C520" s="4" t="str">
        <f t="shared" si="1"/>
        <v xml:space="preserve">Thank you, </v>
      </c>
      <c r="D520" s="1" t="str">
        <f t="shared" si="2"/>
        <v xml:space="preserve">Thank you, </v>
      </c>
      <c r="E520" s="1" t="str">
        <f>'full warmup'!C1094</f>
        <v/>
      </c>
      <c r="K520" s="3" t="str">
        <f>CONCATENATE('full warmup'!C136," ",'full warmup'!F136)</f>
        <v xml:space="preserve"> </v>
      </c>
      <c r="O520" s="1">
        <f>'full warmup'!C136</f>
        <v>0</v>
      </c>
      <c r="R520" s="4" t="str">
        <f t="shared" si="3"/>
        <v xml:space="preserve">Thank you, , for participating in my wellness warmup exercise. Your preliminary responsiveness to needs scored %. </v>
      </c>
      <c r="S520" s="6" t="s">
        <v>321</v>
      </c>
      <c r="T520" s="6" t="s">
        <v>3</v>
      </c>
      <c r="U520" s="1" t="str">
        <f t="shared" si="4"/>
        <v xml:space="preserve">Thank you, </v>
      </c>
      <c r="V520" s="1" t="s">
        <v>219</v>
      </c>
      <c r="W520" s="1" t="str">
        <f>IF(O520=0,"",ROUNDUP(('full warmup'!M136*100),0))</f>
        <v/>
      </c>
      <c r="X520" s="1" t="s">
        <v>8</v>
      </c>
      <c r="Y520" s="1" t="str">
        <f t="shared" si="5"/>
        <v/>
      </c>
      <c r="AA520" s="6" t="s">
        <v>3</v>
      </c>
      <c r="AB520"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20" s="3" t="s">
        <v>165</v>
      </c>
      <c r="AD520" s="91" t="s">
        <v>3</v>
      </c>
      <c r="AE520" s="90" t="s">
        <v>166</v>
      </c>
      <c r="AF520" s="90" t="str">
        <f>'full warmup'!T1094</f>
        <v>At the moment, my wellness goal is still evolving.</v>
      </c>
      <c r="AG520" s="90" t="s">
        <v>167</v>
      </c>
      <c r="AH520" s="91" t="s">
        <v>3</v>
      </c>
      <c r="AI520" s="90" t="s">
        <v>168</v>
      </c>
      <c r="AJ520" s="3" t="s">
        <v>3</v>
      </c>
      <c r="AK520" s="90" t="str">
        <f t="shared" si="7"/>
        <v>Think about it for a while. I will get back to you when you're ready to decide to be more need-responsive and pursue greater wellness along with me. Thank you, 0, for everything.</v>
      </c>
      <c r="AL520" s="3" t="s">
        <v>169</v>
      </c>
      <c r="AM520" s="3">
        <f t="shared" si="8"/>
        <v>0</v>
      </c>
      <c r="AN520" s="3" t="s">
        <v>170</v>
      </c>
      <c r="AO520" s="3"/>
    </row>
    <row r="521" spans="2:41" hidden="1" x14ac:dyDescent="0.3">
      <c r="B521" s="1">
        <v>19</v>
      </c>
      <c r="C521" s="4" t="str">
        <f t="shared" si="1"/>
        <v xml:space="preserve">Thank you, </v>
      </c>
      <c r="D521" s="1" t="str">
        <f t="shared" si="2"/>
        <v xml:space="preserve">Thank you, </v>
      </c>
      <c r="E521" s="1" t="str">
        <f>'full warmup'!C1095</f>
        <v/>
      </c>
      <c r="K521" s="3" t="str">
        <f>CONCATENATE('full warmup'!C137," ",'full warmup'!F137)</f>
        <v xml:space="preserve"> </v>
      </c>
      <c r="O521" s="1">
        <f>'full warmup'!C137</f>
        <v>0</v>
      </c>
      <c r="R521" s="4" t="str">
        <f t="shared" si="3"/>
        <v xml:space="preserve">Thank you, , for participating in my wellness warmup exercise. Your preliminary responsiveness to needs scored %. </v>
      </c>
      <c r="S521" s="6" t="s">
        <v>321</v>
      </c>
      <c r="T521" s="6" t="s">
        <v>3</v>
      </c>
      <c r="U521" s="1" t="str">
        <f t="shared" si="4"/>
        <v xml:space="preserve">Thank you, </v>
      </c>
      <c r="V521" s="1" t="s">
        <v>219</v>
      </c>
      <c r="W521" s="1" t="str">
        <f>IF(O521=0,"",ROUNDUP(('full warmup'!M137*100),0))</f>
        <v/>
      </c>
      <c r="X521" s="1" t="s">
        <v>8</v>
      </c>
      <c r="Y521" s="1" t="str">
        <f t="shared" si="5"/>
        <v/>
      </c>
      <c r="AA521" s="6" t="s">
        <v>3</v>
      </c>
      <c r="AB521"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21" s="3" t="s">
        <v>165</v>
      </c>
      <c r="AD521" s="91" t="s">
        <v>3</v>
      </c>
      <c r="AE521" s="90" t="s">
        <v>166</v>
      </c>
      <c r="AF521" s="90" t="str">
        <f>'full warmup'!T1095</f>
        <v>At the moment, my wellness goal is still evolving.</v>
      </c>
      <c r="AG521" s="90" t="s">
        <v>167</v>
      </c>
      <c r="AH521" s="91" t="s">
        <v>3</v>
      </c>
      <c r="AI521" s="90" t="s">
        <v>168</v>
      </c>
      <c r="AJ521" s="3" t="s">
        <v>3</v>
      </c>
      <c r="AK521" s="90" t="str">
        <f t="shared" si="7"/>
        <v>Think about it for a while. I will get back to you when you're ready to decide to be more need-responsive and pursue greater wellness along with me. Thank you, 0, for everything.</v>
      </c>
      <c r="AL521" s="3" t="s">
        <v>169</v>
      </c>
      <c r="AM521" s="3">
        <f t="shared" si="8"/>
        <v>0</v>
      </c>
      <c r="AN521" s="3" t="s">
        <v>170</v>
      </c>
      <c r="AO521" s="3"/>
    </row>
    <row r="522" spans="2:41" hidden="1" x14ac:dyDescent="0.3">
      <c r="B522" s="1">
        <v>20</v>
      </c>
      <c r="C522" s="4" t="str">
        <f t="shared" si="1"/>
        <v xml:space="preserve">Thank you, </v>
      </c>
      <c r="D522" s="1" t="str">
        <f t="shared" si="2"/>
        <v xml:space="preserve">Thank you, </v>
      </c>
      <c r="E522" s="1" t="str">
        <f>'full warmup'!C1096</f>
        <v/>
      </c>
      <c r="K522" s="3" t="str">
        <f>CONCATENATE('full warmup'!C138," ",'full warmup'!F138)</f>
        <v xml:space="preserve"> </v>
      </c>
      <c r="O522" s="1">
        <f>'full warmup'!C138</f>
        <v>0</v>
      </c>
      <c r="R522" s="4" t="str">
        <f t="shared" si="3"/>
        <v xml:space="preserve">Thank you, , for participating in my wellness warmup exercise. Your preliminary responsiveness to needs scored %. </v>
      </c>
      <c r="S522" s="6" t="s">
        <v>321</v>
      </c>
      <c r="T522" s="6" t="s">
        <v>3</v>
      </c>
      <c r="U522" s="1" t="str">
        <f t="shared" si="4"/>
        <v xml:space="preserve">Thank you, </v>
      </c>
      <c r="V522" s="1" t="s">
        <v>219</v>
      </c>
      <c r="W522" s="1" t="str">
        <f>IF(O522=0,"",ROUNDUP(('full warmup'!M138*100),0))</f>
        <v/>
      </c>
      <c r="X522" s="1" t="s">
        <v>8</v>
      </c>
      <c r="Y522" s="1" t="str">
        <f t="shared" si="5"/>
        <v/>
      </c>
      <c r="AA522" s="6" t="s">
        <v>3</v>
      </c>
      <c r="AB522" s="90" t="str">
        <f t="shared" si="6"/>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C522" s="3" t="s">
        <v>165</v>
      </c>
      <c r="AD522" s="91" t="s">
        <v>3</v>
      </c>
      <c r="AE522" s="90" t="s">
        <v>166</v>
      </c>
      <c r="AF522" s="90" t="str">
        <f>'full warmup'!T1096</f>
        <v>At the moment, my wellness goal is still evolving.</v>
      </c>
      <c r="AG522" s="90" t="s">
        <v>167</v>
      </c>
      <c r="AH522" s="91" t="s">
        <v>3</v>
      </c>
      <c r="AI522" s="90" t="s">
        <v>168</v>
      </c>
      <c r="AJ522" s="3" t="s">
        <v>3</v>
      </c>
      <c r="AK522" s="90" t="str">
        <f t="shared" si="7"/>
        <v>Think about it for a while. I will get back to you when you're ready to decide to be more need-responsive and pursue greater wellness along with me. Thank you, 0, for everything.</v>
      </c>
      <c r="AL522" s="3" t="s">
        <v>169</v>
      </c>
      <c r="AM522" s="3">
        <f t="shared" si="8"/>
        <v>0</v>
      </c>
      <c r="AN522" s="3" t="s">
        <v>170</v>
      </c>
      <c r="AO522" s="3"/>
    </row>
    <row r="523" spans="2:41" hidden="1" x14ac:dyDescent="0.3">
      <c r="K523" s="143" t="str">
        <f>IF($B$2=$C$503,K503,IF($B$2=$C$504,K504,IF($B$2=$C$505,K505,IF($B$2=$C$506,K506,IF($B$2=$C$507,K507,IF($B$2=$C$508,K508,IF($B$2=$C$509,K509,IF($B$2=$C$510,K510,IF($B$2=$C$511,K511,IF($B$2=$C$512,K512,IF($B$2=$C$513,K513,IF($B$2=$C$514,K514,IF($B$2=$C$515,K515,IF($B$2=$C$516,K516,IF($B$2=$C$517,K517,IF($B$2=$C$518,K518,IF($B$2=$C$519,K519,IF($B$2=$C$520,K520,IF($B$2=$C$521,K521,IF($B$2=$C$522,K522,IF($B$2="","")))))))))))))))))))))</f>
        <v xml:space="preserve"> </v>
      </c>
      <c r="O523" s="143">
        <f>IF($B$2=$C$503,O503,IF($B$2=$C$504,O504,IF($B$2=$C$505,O505,IF($B$2=$C$506,O506,IF($B$2=$C$507,O507,IF($B$2=$C$508,O508,IF($B$2=$C$509,O509,IF($B$2=$C$510,O510,IF($B$2=$C$511,O511,IF($B$2=$C$512,O512,IF($B$2=$C$513,O513,IF($B$2=$C$514,O514,IF($B$2=$C$515,O515,IF($B$2=$C$516,O516,IF($B$2=$C$517,O517,IF($B$2=$C$518,O518,IF($B$2=$C$519,O519,IF($B$2=$C$520,O520,IF($B$2=$C$521,O521,IF($B$2=$C$522,O522,IF($B$2="","")))))))))))))))))))))</f>
        <v>0</v>
      </c>
      <c r="R523" s="143" t="str">
        <f>IF($B$2=$C$503,R503,IF($B$2=$C$504,R504,IF($B$2=$C$505,R505,IF($B$2=$C$506,R506,IF($B$2=$C$507,R507,IF($B$2=$C$508,R508,IF($B$2=$C$509,R509,IF($B$2=$C$510,R510,IF($B$2=$C$511,R511,IF($B$2=$C$512,R512,IF($B$2=$C$513,R513,IF($B$2=$C$514,R514,IF($B$2=$C$515,R515,IF($B$2=$C$516,R516,IF($B$2=$C$517,R517,IF($B$2=$C$518,R518,IF($B$2=$C$519,R519,IF($B$2=$C$520,R520,IF($B$2=$C$521,R521,IF($B$2=$C$522,R522,IF($B$2="","")))))))))))))))))))))</f>
        <v xml:space="preserve">, for participating in my wellness warmup exercise. Your preliminary responsiveness to needs scored %. </v>
      </c>
      <c r="S523" s="6" t="s">
        <v>3</v>
      </c>
      <c r="AB523" s="143" t="str">
        <f>IF($B$2=$C$503,AB503,IF($B$2=$C$504,AB504,IF($B$2=$C$505,AB505,IF($B$2=$C$506,AB506,IF($B$2=$C$507,AB507,IF($B$2=$C$508,AB508,IF($B$2=$C$509,AB509,IF($B$2=$C$510,AB510,IF($B$2=$C$511,AB511,IF($B$2=$C$512,AB512,IF($B$2=$C$513,AB513,IF($B$2=$C$514,AB514,IF($B$2=$C$515,AB515,IF($B$2=$C$516,AB516,IF($B$2=$C$517,AB517,IF($B$2=$C$518,AB518,IF($B$2=$C$519,AB519,IF($B$2=$C$520,AB520,IF($B$2=$C$521,AB521,IF($B$2=$C$522,AB522,IF($B$2="","")))))))))))))))))))))</f>
        <v>This helps me build a professional 'responsiveness reputation' to address even bigger needs with those in positions of power. You can grow your own responsiveness reputation along side mine. You too can grow the skills to speak truth to power in ways that incentivize them to listen with respect.</v>
      </c>
      <c r="AD523" s="6" t="s">
        <v>3</v>
      </c>
      <c r="AE523" s="143" t="str">
        <f>IF($B$2=$C$503,AE503,IF($B$2=$C$504,AE504,IF($B$2=$C$505,AE505,IF($B$2=$C$506,AE506,IF($B$2=$C$507,AE507,IF($B$2=$C$508,AE508,IF($B$2=$C$509,AE509,IF($B$2=$C$510,AE510,IF($B$2=$C$511,AE511,IF($B$2=$C$512,AE512,IF($B$2=$C$513,AE513,IF($B$2=$C$514,AE514,IF($B$2=$C$515,AE515,IF($B$2=$C$516,AE516,IF($B$2=$C$517,AE517,IF($B$2=$C$518,AE518,IF($B$2=$C$519,AE519,IF($B$2=$C$520,AE520,IF($B$2=$C$521,AE521,IF($B$2=$C$522,AE522,IF($B$2="","")))))))))))))))))))))</f>
        <v>I now invite you to support me in my full wellness campaign. I am growing a team to help me address my larger wellness goal:</v>
      </c>
      <c r="AF523" s="143" t="str">
        <f>IF($B$2=$C$503,AF503,IF($B$2=$C$504,AF504,IF($B$2=$C$505,AF505,IF($B$2=$C$506,AF506,IF($B$2=$C$507,AF507,IF($B$2=$C$508,AF508,IF($B$2=$C$509,AF509,IF($B$2=$C$510,AF510,IF($B$2=$C$511,AF511,IF($B$2=$C$512,AF512,IF($B$2=$C$513,AF513,IF($B$2=$C$514,AF514,IF($B$2=$C$515,AF515,IF($B$2=$C$516,AF516,IF($B$2=$C$517,AF517,IF($B$2=$C$518,AF518,IF($B$2=$C$519,AF519,IF($B$2=$C$520,AF520,IF($B$2=$C$521,AF521,IF($B$2=$C$522,AF522,IF($B$2="","")))))))))))))))))))))</f>
        <v>At the moment, my wellness goal is still evolving.</v>
      </c>
      <c r="AG523" s="143" t="str">
        <f>IF($B$2=$C$503,AG503,IF($B$2=$C$504,AG504,IF($B$2=$C$505,AG505,IF($B$2=$C$506,AG506,IF($B$2=$C$507,AG507,IF($B$2=$C$508,AG508,IF($B$2=$C$509,AG509,IF($B$2=$C$510,AG510,IF($B$2=$C$511,AG511,IF($B$2=$C$512,AG512,IF($B$2=$C$513,AG513,IF($B$2=$C$514,AG514,IF($B$2=$C$515,AG515,IF($B$2=$C$516,AG516,IF($B$2=$C$517,AG517,IF($B$2=$C$518,AG518,IF($B$2=$C$519,AG519,IF($B$2=$C$520,AG520,IF($B$2=$C$521,AG521,IF($B$2=$C$522,AG522,IF($B$2="","")))))))))))))))))))))</f>
        <v>Your support can increas my chances for success. And can help you see if this wellness approach is something you could use to reach such a lofty goal in your life.</v>
      </c>
      <c r="AH523" s="6" t="s">
        <v>3</v>
      </c>
      <c r="AI523" s="143" t="str">
        <f>IF($B$2=$C$503,AI503,IF($B$2=$C$504,AI504,IF($B$2=$C$505,AI505,IF($B$2=$C$506,AI506,IF($B$2=$C$507,AI507,IF($B$2=$C$508,AI508,IF($B$2=$C$509,AI509,IF($B$2=$C$510,AI510,IF($B$2=$C$511,AI511,IF($B$2=$C$512,AI512,IF($B$2=$C$513,AI513,IF($B$2=$C$514,AI514,IF($B$2=$C$515,AI515,IF($B$2=$C$516,AI516,IF($B$2=$C$517,AI517,IF($B$2=$C$518,AI518,IF($B$2=$C$519,AI519,IF($B$2=$C$520,AI520,IF($B$2=$C$521,AI521,IF($B$2=$C$522,AI522,IF($B$2="","")))))))))))))))))))))</f>
        <v>You start out as a "follower" for free. Later, you're offered the option to upgrade as a "patron" for just $50/month. Or upgrade as a "supporter" for only $25/month. Or stay as a follower for free. The more involved, the more you can get out of this campaign for yourself.</v>
      </c>
      <c r="AJ523" s="6" t="s">
        <v>3</v>
      </c>
      <c r="AK523" s="143" t="str">
        <f>IF($B$2=$C$503,AK503,IF($B$2=$C$504,AK504,IF($B$2=$C$505,AK505,IF($B$2=$C$506,AK506,IF($B$2=$C$507,AK507,IF($B$2=$C$508,AK508,IF($B$2=$C$509,AK509,IF($B$2=$C$510,AK510,IF($B$2=$C$511,AK511,IF($B$2=$C$512,AK512,IF($B$2=$C$513,AK513,IF($B$2=$C$514,AK514,IF($B$2=$C$515,AK515,IF($B$2=$C$516,AK516,IF($B$2=$C$517,AK517,IF($B$2=$C$518,AK518,IF($B$2=$C$519,AK519,IF($B$2=$C$520,AK520,IF($B$2=$C$521,AK521,IF($B$2=$C$522,AK522,IF($B$2="","")))))))))))))))))))))</f>
        <v>Think about it for a while. I will get back to you when you're ready to decide to be more need-responsive and pursue greater wellness along with me. Thank you, 0, for everything.</v>
      </c>
    </row>
    <row r="524" spans="2:41" hidden="1" x14ac:dyDescent="0.3"/>
    <row r="525" spans="2:41" hidden="1" x14ac:dyDescent="0.3">
      <c r="C525" s="1" t="s">
        <v>322</v>
      </c>
    </row>
    <row r="526" spans="2:41" hidden="1" x14ac:dyDescent="0.3"/>
    <row r="527" spans="2:41" hidden="1" x14ac:dyDescent="0.3">
      <c r="E527" s="135">
        <f>IF($B$2=$C$503,G503,IF($B$2=$C$504,G504,IF($B$2=$C$505,G505,IF($B$2=$C$506,G506,IF($B$2=$C$507,G507,IF($B$2=$C$508,G508,IF($B$2=$C$509,G509,IF($B$2=$C$510,G510,IF($B$2=$C$511,G511,IF($B$2=$C$512,G512,IF($B$2=$C$513,G513,IF($B$2=$C$514,G514,IF($B$2=$C$515,G515,IF($B$2=$C$516,G516,IF($B$2=$C$517,G517,IF($B$2=$C$518,G518,IF($B$2=$C$519,G519,IF($B$2=$C$520,G520,IF($B$2=$C$521,G521,IF($B$2=$C$522,G522,IF($B$2="","")))))))))))))))))))))</f>
        <v>0</v>
      </c>
      <c r="O527" s="1" t="str">
        <f>'full warmup'!F1098</f>
        <v xml:space="preserve">Thank you, 0, for participating in my wellness warmup exercise. Your preliminary responsiveness to needs scored %. </v>
      </c>
    </row>
    <row r="528" spans="2:41" hidden="1" x14ac:dyDescent="0.3">
      <c r="E528" s="135">
        <f>IF($B$2=$C$503,K503,IF($B$2=$C$504,H504,IF($B$2=$C$505,H505,IF($B$2=$C$506,H506,IF($B$2=$C$507,H507,IF($B$2=$C$508,H508,IF($B$2=$C$509,H509,IF($B$2=$C$510,H510,IF($B$2=$C$511,H511,IF($B$2=$C$512,H512,IF($B$2=$C$513,H513,IF($B$2=$C$514,H514,IF($B$2=$C$515,H515,IF($B$2=$C$516,H516,IF($B$2=$C$517,H517,IF($B$2=$C$518,H518,IF($B$2=$C$519,H519,IF($B$2=$C$520,H520,IF($B$2=$C$521,H521,IF($B$2=$C$522,H522,IF($B$2="","")))))))))))))))))))))</f>
        <v>0</v>
      </c>
    </row>
    <row r="529" spans="2:19" hidden="1" x14ac:dyDescent="0.3">
      <c r="E529" s="135">
        <f>IF($B$2=$C$503,I503,IF($B$2=$C$504,I504,IF($B$2=$C$505,I505,IF($B$2=$C$506,I506,IF($B$2=$C$507,I507,IF($B$2=$C$508,I508,IF($B$2=$C$509,I509,IF($B$2=$C$510,I510,IF($B$2=$C$511,I511,IF($B$2=$C$512,I512,IF($B$2=$C$513,I513,IF($B$2=$C$514,I514,IF($B$2=$C$515,I515,IF($B$2=$C$516,I516,IF($B$2=$C$517,I517,IF($B$2=$C$518,I518,IF($B$2=$C$519,I519,IF($B$2=$C$520,I520,IF($B$2=$C$521,I521,IF($B$2=$C$522,I522,IF($B$2="","")))))))))))))))))))))</f>
        <v>0</v>
      </c>
    </row>
    <row r="530" spans="2:19" hidden="1" x14ac:dyDescent="0.3">
      <c r="E530" s="135">
        <f>IF($B$2=$C$503,J503,IF($B$2=$C$504,J504,IF($B$2=$C$505,J505,IF($B$2=$C$506,J506,IF($B$2=$C$507,J507,IF($B$2=$C$508,J508,IF($B$2=$C$509,J509,IF($B$2=$C$510,J510,IF($B$2=$C$511,J511,IF($B$2=$C$512,J512,IF($B$2=$C$513,J513,IF($B$2=$C$514,J514,IF($B$2=$C$515,J515,IF($B$2=$C$516,J516,IF($B$2=$C$517,J517,IF($B$2=$C$518,J518,IF($B$2=$C$519,J519,IF($B$2=$C$520,J520,IF($B$2=$C$521,J521,IF($B$2=$C$522,J522,IF($B$2="","")))))))))))))))))))))</f>
        <v>0</v>
      </c>
    </row>
    <row r="531" spans="2:19" hidden="1" x14ac:dyDescent="0.3">
      <c r="E531" s="135" t="str">
        <f>IF($B$2=$C$503,#REF!,IF($B$2=$C$504,K504,IF($B$2=$C$505,K505,IF($B$2=$C$506,K506,IF($B$2=$C$507,K507,IF($B$2=$C$508,K508,IF($B$2=$C$509,K509,IF($B$2=$C$510,K510,IF($B$2=$C$511,K511,IF($B$2=$C$512,K512,IF($B$2=$C$513,K513,IF($B$2=$C$514,K514,IF($B$2=$C$515,K515,IF($B$2=$C$516,K516,IF($B$2=$C$517,K517,IF($B$2=$C$518,K518,IF($B$2=$C$519,K519,IF($B$2=$C$520,K520,IF($B$2=$C$521,K521,IF($B$2=$C$522,K522,IF($B$2="","")))))))))))))))))))))</f>
        <v xml:space="preserve"> </v>
      </c>
    </row>
    <row r="532" spans="2:19" hidden="1" x14ac:dyDescent="0.3">
      <c r="E532" s="135">
        <f>IF($B$2=$C$503,L503,IF($B$2=$C$504,L504,IF($B$2=$C$505,L505,IF($B$2=$C$506,L506,IF($B$2=$C$507,L507,IF($B$2=$C$508,L508,IF($B$2=$C$509,L509,IF($B$2=$C$510,L510,IF($B$2=$C$511,L511,IF($B$2=$C$512,L512,IF($B$2=$C$513,L513,IF($B$2=$C$514,L514,IF($B$2=$C$515,L515,IF($B$2=$C$516,L516,IF($B$2=$C$517,L517,IF($B$2=$C$518,L518,IF($B$2=$C$519,L519,IF($B$2=$C$520,L520,IF($B$2=$C$521,L521,IF($B$2=$C$522,L522,IF($B$2="","")))))))))))))))))))))</f>
        <v>0</v>
      </c>
    </row>
    <row r="533" spans="2:19" hidden="1" x14ac:dyDescent="0.3">
      <c r="E533" s="135">
        <f>IF($B$2=$C$503,M503,IF($B$2=$C$504,M504,IF($B$2=$C$505,M505,IF($B$2=$C$506,M506,IF($B$2=$C$507,M507,IF($B$2=$C$508,M508,IF($B$2=$C$509,M509,IF($B$2=$C$510,M510,IF($B$2=$C$511,M511,IF($B$2=$C$512,M512,IF($B$2=$C$513,M513,IF($B$2=$C$514,M514,IF($B$2=$C$515,M515,IF($B$2=$C$516,M516,IF($B$2=$C$517,M517,IF($B$2=$C$518,M518,IF($B$2=$C$519,M519,IF($B$2=$C$520,M520,IF($B$2=$C$521,M521,IF($B$2=$C$522,M522,IF($B$2="","")))))))))))))))))))))</f>
        <v>0</v>
      </c>
    </row>
    <row r="534" spans="2:19" hidden="1" x14ac:dyDescent="0.3">
      <c r="S534" s="1" t="s">
        <v>324</v>
      </c>
    </row>
    <row r="535" spans="2:19" hidden="1" x14ac:dyDescent="0.3"/>
    <row r="536" spans="2:19" hidden="1" x14ac:dyDescent="0.3">
      <c r="S536" s="146" t="s">
        <v>323</v>
      </c>
    </row>
    <row r="537" spans="2:19" hidden="1" x14ac:dyDescent="0.3">
      <c r="S537" s="146" t="s">
        <v>26</v>
      </c>
    </row>
    <row r="538" spans="2:19" hidden="1" x14ac:dyDescent="0.3">
      <c r="B538" s="1">
        <f>'full warmup'!B119</f>
        <v>1</v>
      </c>
      <c r="C538" s="7" t="str">
        <f>'full warmup'!AE1077</f>
        <v xml:space="preserve">Thank you, </v>
      </c>
      <c r="D538" s="1">
        <f>'full warmup'!D119</f>
        <v>0</v>
      </c>
      <c r="E538" s="1">
        <f>'full warmup'!E119</f>
        <v>0</v>
      </c>
      <c r="F538" s="1">
        <f>'full warmup'!F119</f>
        <v>0</v>
      </c>
      <c r="G538" s="1">
        <f>'full warmup'!G119</f>
        <v>0</v>
      </c>
      <c r="H538" s="1">
        <f>'full warmup'!H119</f>
        <v>0</v>
      </c>
      <c r="I538" s="1">
        <f>'full warmup'!I119</f>
        <v>0</v>
      </c>
      <c r="J538" s="1">
        <f>'full warmup'!J119</f>
        <v>0</v>
      </c>
      <c r="K538" s="1">
        <f>'full warmup'!K119</f>
        <v>0</v>
      </c>
      <c r="L538" s="1">
        <f>'full warmup'!L119</f>
        <v>0</v>
      </c>
      <c r="M538" s="1">
        <f>'full warmup'!M119</f>
        <v>0</v>
      </c>
      <c r="O538" s="135">
        <f>IF(OR(I538&lt;&gt;0,J538&lt;&gt;0,K538&lt;&gt;0,L538&lt;&gt;0),1,0)</f>
        <v>0</v>
      </c>
      <c r="Q538" s="135" t="str">
        <f>IF(OR(C538=0,L538=0),"NO","YES")</f>
        <v>NO</v>
      </c>
      <c r="S538" s="1" t="str">
        <f>IF(OR(L538=0,L538=""),S$536,S$537)</f>
        <v>not</v>
      </c>
    </row>
    <row r="539" spans="2:19" hidden="1" x14ac:dyDescent="0.3">
      <c r="B539" s="1">
        <f>'full warmup'!B120</f>
        <v>2</v>
      </c>
      <c r="C539" s="7" t="str">
        <f>'full warmup'!AE1078</f>
        <v xml:space="preserve">Thank you, </v>
      </c>
      <c r="D539" s="1">
        <f>'full warmup'!D120</f>
        <v>0</v>
      </c>
      <c r="E539" s="1">
        <f>'full warmup'!E120</f>
        <v>0</v>
      </c>
      <c r="F539" s="1">
        <f>'full warmup'!F120</f>
        <v>0</v>
      </c>
      <c r="G539" s="1">
        <f>'full warmup'!G120</f>
        <v>0</v>
      </c>
      <c r="H539" s="1">
        <f>'full warmup'!H120</f>
        <v>0</v>
      </c>
      <c r="I539" s="1">
        <f>'full warmup'!I120</f>
        <v>0</v>
      </c>
      <c r="J539" s="1">
        <f>'full warmup'!J120</f>
        <v>0</v>
      </c>
      <c r="K539" s="1">
        <f>'full warmup'!K120</f>
        <v>0</v>
      </c>
      <c r="L539" s="1">
        <f>'full warmup'!L120</f>
        <v>0</v>
      </c>
      <c r="M539" s="1">
        <f>'full warmup'!M120</f>
        <v>0</v>
      </c>
      <c r="O539" s="135">
        <f t="shared" ref="O539:O548" si="9">IF(OR(I539&gt;0,J539&gt;0,K539&gt;0,L539&gt;0),1,0)</f>
        <v>0</v>
      </c>
      <c r="Q539" s="135" t="str">
        <f t="shared" ref="Q539:Q557" si="10">IF(OR(C539=0,L539=0),"NO","YES")</f>
        <v>NO</v>
      </c>
      <c r="S539" s="1" t="str">
        <f t="shared" ref="S539:S557" si="11">IF(OR(L539=0,L539=""),S$536,S$537)</f>
        <v>not</v>
      </c>
    </row>
    <row r="540" spans="2:19" hidden="1" x14ac:dyDescent="0.3">
      <c r="B540" s="1">
        <f>'full warmup'!B121</f>
        <v>3</v>
      </c>
      <c r="C540" s="7" t="str">
        <f>'full warmup'!AE1079</f>
        <v xml:space="preserve">Thank you, </v>
      </c>
      <c r="D540" s="1">
        <f>'full warmup'!D121</f>
        <v>0</v>
      </c>
      <c r="E540" s="1">
        <f>'full warmup'!E121</f>
        <v>0</v>
      </c>
      <c r="F540" s="1">
        <f>'full warmup'!F121</f>
        <v>0</v>
      </c>
      <c r="G540" s="1">
        <f>'full warmup'!G121</f>
        <v>0</v>
      </c>
      <c r="H540" s="1">
        <f>'full warmup'!H121</f>
        <v>0</v>
      </c>
      <c r="I540" s="1">
        <f>'full warmup'!I121</f>
        <v>0</v>
      </c>
      <c r="J540" s="1">
        <f>'full warmup'!J121</f>
        <v>0</v>
      </c>
      <c r="K540" s="1">
        <f>'full warmup'!K121</f>
        <v>0</v>
      </c>
      <c r="L540" s="1">
        <f>'full warmup'!L121</f>
        <v>0</v>
      </c>
      <c r="M540" s="1">
        <f>'full warmup'!M121</f>
        <v>0</v>
      </c>
      <c r="O540" s="135">
        <f t="shared" si="9"/>
        <v>0</v>
      </c>
      <c r="Q540" s="135" t="str">
        <f t="shared" si="10"/>
        <v>NO</v>
      </c>
      <c r="S540" s="1" t="str">
        <f t="shared" si="11"/>
        <v>not</v>
      </c>
    </row>
    <row r="541" spans="2:19" hidden="1" x14ac:dyDescent="0.3">
      <c r="B541" s="1">
        <f>'full warmup'!B122</f>
        <v>4</v>
      </c>
      <c r="C541" s="7" t="str">
        <f>'full warmup'!AE1080</f>
        <v xml:space="preserve">Thank you, </v>
      </c>
      <c r="D541" s="1">
        <f>'full warmup'!D122</f>
        <v>0</v>
      </c>
      <c r="E541" s="1">
        <f>'full warmup'!E122</f>
        <v>0</v>
      </c>
      <c r="F541" s="1">
        <f>'full warmup'!F122</f>
        <v>0</v>
      </c>
      <c r="G541" s="1">
        <f>'full warmup'!G122</f>
        <v>0</v>
      </c>
      <c r="H541" s="1">
        <f>'full warmup'!H122</f>
        <v>0</v>
      </c>
      <c r="I541" s="1">
        <f>'full warmup'!I122</f>
        <v>0</v>
      </c>
      <c r="J541" s="1">
        <f>'full warmup'!J122</f>
        <v>0</v>
      </c>
      <c r="K541" s="1">
        <f>'full warmup'!K122</f>
        <v>0</v>
      </c>
      <c r="L541" s="1">
        <f>'full warmup'!L122</f>
        <v>0</v>
      </c>
      <c r="M541" s="1">
        <f>'full warmup'!M122</f>
        <v>0</v>
      </c>
      <c r="O541" s="135">
        <f t="shared" si="9"/>
        <v>0</v>
      </c>
      <c r="Q541" s="135" t="str">
        <f t="shared" si="10"/>
        <v>NO</v>
      </c>
      <c r="S541" s="1" t="str">
        <f t="shared" si="11"/>
        <v>not</v>
      </c>
    </row>
    <row r="542" spans="2:19" hidden="1" x14ac:dyDescent="0.3">
      <c r="B542" s="1">
        <f>'full warmup'!B123</f>
        <v>5</v>
      </c>
      <c r="C542" s="7" t="str">
        <f>'full warmup'!AE1081</f>
        <v xml:space="preserve">Thank you, </v>
      </c>
      <c r="D542" s="1">
        <f>'full warmup'!D123</f>
        <v>0</v>
      </c>
      <c r="E542" s="1">
        <f>'full warmup'!E123</f>
        <v>0</v>
      </c>
      <c r="F542" s="1">
        <f>'full warmup'!F123</f>
        <v>0</v>
      </c>
      <c r="G542" s="1">
        <f>'full warmup'!G123</f>
        <v>0</v>
      </c>
      <c r="H542" s="1">
        <f>'full warmup'!H123</f>
        <v>0</v>
      </c>
      <c r="I542" s="1">
        <f>'full warmup'!I123</f>
        <v>0</v>
      </c>
      <c r="J542" s="1">
        <f>'full warmup'!J123</f>
        <v>0</v>
      </c>
      <c r="K542" s="1">
        <f>'full warmup'!K123</f>
        <v>0</v>
      </c>
      <c r="L542" s="1">
        <f>'full warmup'!L123</f>
        <v>0</v>
      </c>
      <c r="M542" s="1">
        <f>'full warmup'!M123</f>
        <v>0</v>
      </c>
      <c r="O542" s="135">
        <f t="shared" si="9"/>
        <v>0</v>
      </c>
      <c r="Q542" s="135" t="str">
        <f t="shared" si="10"/>
        <v>NO</v>
      </c>
      <c r="S542" s="1" t="str">
        <f t="shared" si="11"/>
        <v>not</v>
      </c>
    </row>
    <row r="543" spans="2:19" hidden="1" x14ac:dyDescent="0.3">
      <c r="B543" s="1">
        <f>'full warmup'!B124</f>
        <v>6</v>
      </c>
      <c r="C543" s="7" t="str">
        <f>'full warmup'!AE1082</f>
        <v xml:space="preserve">Thank you, </v>
      </c>
      <c r="D543" s="1">
        <f>'full warmup'!D124</f>
        <v>0</v>
      </c>
      <c r="E543" s="1">
        <f>'full warmup'!E124</f>
        <v>0</v>
      </c>
      <c r="F543" s="1">
        <f>'full warmup'!F124</f>
        <v>0</v>
      </c>
      <c r="G543" s="1">
        <f>'full warmup'!G124</f>
        <v>0</v>
      </c>
      <c r="H543" s="1">
        <f>'full warmup'!H124</f>
        <v>0</v>
      </c>
      <c r="I543" s="1">
        <f>'full warmup'!I124</f>
        <v>0</v>
      </c>
      <c r="J543" s="1">
        <f>'full warmup'!J124</f>
        <v>0</v>
      </c>
      <c r="K543" s="1">
        <f>'full warmup'!K124</f>
        <v>0</v>
      </c>
      <c r="L543" s="1">
        <f>'full warmup'!L124</f>
        <v>0</v>
      </c>
      <c r="M543" s="1">
        <f>'full warmup'!M124</f>
        <v>0</v>
      </c>
      <c r="O543" s="135">
        <f t="shared" si="9"/>
        <v>0</v>
      </c>
      <c r="Q543" s="135" t="str">
        <f t="shared" si="10"/>
        <v>NO</v>
      </c>
      <c r="S543" s="1" t="str">
        <f t="shared" si="11"/>
        <v>not</v>
      </c>
    </row>
    <row r="544" spans="2:19" hidden="1" x14ac:dyDescent="0.3">
      <c r="B544" s="1">
        <f>'full warmup'!B125</f>
        <v>7</v>
      </c>
      <c r="C544" s="7" t="str">
        <f>'full warmup'!AE1083</f>
        <v xml:space="preserve">Thank you, </v>
      </c>
      <c r="D544" s="1">
        <f>'full warmup'!D125</f>
        <v>0</v>
      </c>
      <c r="E544" s="1">
        <f>'full warmup'!E125</f>
        <v>0</v>
      </c>
      <c r="F544" s="1">
        <f>'full warmup'!F125</f>
        <v>0</v>
      </c>
      <c r="G544" s="1">
        <f>'full warmup'!G125</f>
        <v>0</v>
      </c>
      <c r="H544" s="1">
        <f>'full warmup'!H125</f>
        <v>0</v>
      </c>
      <c r="I544" s="1">
        <f>'full warmup'!I125</f>
        <v>0</v>
      </c>
      <c r="J544" s="1">
        <f>'full warmup'!J125</f>
        <v>0</v>
      </c>
      <c r="K544" s="1">
        <f>'full warmup'!K125</f>
        <v>0</v>
      </c>
      <c r="L544" s="1">
        <f>'full warmup'!L125</f>
        <v>0</v>
      </c>
      <c r="M544" s="1">
        <f>'full warmup'!M125</f>
        <v>0</v>
      </c>
      <c r="O544" s="135">
        <f t="shared" si="9"/>
        <v>0</v>
      </c>
      <c r="Q544" s="135" t="str">
        <f t="shared" si="10"/>
        <v>NO</v>
      </c>
      <c r="S544" s="1" t="str">
        <f t="shared" si="11"/>
        <v>not</v>
      </c>
    </row>
    <row r="545" spans="2:19" hidden="1" x14ac:dyDescent="0.3">
      <c r="B545" s="1">
        <f>'full warmup'!B126</f>
        <v>8</v>
      </c>
      <c r="C545" s="7" t="str">
        <f>'full warmup'!AE1084</f>
        <v xml:space="preserve">Thank you, </v>
      </c>
      <c r="D545" s="1">
        <f>'full warmup'!D126</f>
        <v>0</v>
      </c>
      <c r="E545" s="1">
        <f>'full warmup'!E126</f>
        <v>0</v>
      </c>
      <c r="F545" s="1">
        <f>'full warmup'!F126</f>
        <v>0</v>
      </c>
      <c r="G545" s="1">
        <f>'full warmup'!G126</f>
        <v>0</v>
      </c>
      <c r="H545" s="1">
        <f>'full warmup'!H126</f>
        <v>0</v>
      </c>
      <c r="I545" s="1">
        <f>'full warmup'!I126</f>
        <v>0</v>
      </c>
      <c r="J545" s="1">
        <f>'full warmup'!J126</f>
        <v>0</v>
      </c>
      <c r="K545" s="1">
        <f>'full warmup'!K126</f>
        <v>0</v>
      </c>
      <c r="L545" s="1">
        <f>'full warmup'!L126</f>
        <v>0</v>
      </c>
      <c r="M545" s="1">
        <f>'full warmup'!M126</f>
        <v>0</v>
      </c>
      <c r="O545" s="135">
        <f t="shared" si="9"/>
        <v>0</v>
      </c>
      <c r="Q545" s="135" t="str">
        <f t="shared" si="10"/>
        <v>NO</v>
      </c>
      <c r="S545" s="1" t="str">
        <f t="shared" si="11"/>
        <v>not</v>
      </c>
    </row>
    <row r="546" spans="2:19" hidden="1" x14ac:dyDescent="0.3">
      <c r="B546" s="1">
        <f>'full warmup'!B127</f>
        <v>9</v>
      </c>
      <c r="C546" s="7" t="str">
        <f>'full warmup'!AE1085</f>
        <v xml:space="preserve">Thank you, </v>
      </c>
      <c r="D546" s="1">
        <f>'full warmup'!D127</f>
        <v>0</v>
      </c>
      <c r="E546" s="1">
        <f>'full warmup'!E127</f>
        <v>0</v>
      </c>
      <c r="F546" s="1">
        <f>'full warmup'!F127</f>
        <v>0</v>
      </c>
      <c r="G546" s="1">
        <f>'full warmup'!G127</f>
        <v>0</v>
      </c>
      <c r="H546" s="1">
        <f>'full warmup'!H127</f>
        <v>0</v>
      </c>
      <c r="I546" s="1">
        <f>'full warmup'!I127</f>
        <v>0</v>
      </c>
      <c r="J546" s="1">
        <f>'full warmup'!J127</f>
        <v>0</v>
      </c>
      <c r="K546" s="1">
        <f>'full warmup'!K127</f>
        <v>0</v>
      </c>
      <c r="L546" s="1">
        <f>'full warmup'!L127</f>
        <v>0</v>
      </c>
      <c r="M546" s="1">
        <f>'full warmup'!M127</f>
        <v>0</v>
      </c>
      <c r="O546" s="135">
        <f t="shared" si="9"/>
        <v>0</v>
      </c>
      <c r="Q546" s="135" t="str">
        <f t="shared" si="10"/>
        <v>NO</v>
      </c>
      <c r="S546" s="1" t="str">
        <f t="shared" si="11"/>
        <v>not</v>
      </c>
    </row>
    <row r="547" spans="2:19" hidden="1" x14ac:dyDescent="0.3">
      <c r="B547" s="1">
        <f>'full warmup'!B128</f>
        <v>10</v>
      </c>
      <c r="C547" s="7" t="str">
        <f>'full warmup'!AE1086</f>
        <v xml:space="preserve">Thank you, </v>
      </c>
      <c r="D547" s="1">
        <f>'full warmup'!D128</f>
        <v>0</v>
      </c>
      <c r="E547" s="1">
        <f>'full warmup'!E128</f>
        <v>0</v>
      </c>
      <c r="F547" s="1">
        <f>'full warmup'!F128</f>
        <v>0</v>
      </c>
      <c r="G547" s="1">
        <f>'full warmup'!G128</f>
        <v>0</v>
      </c>
      <c r="H547" s="1">
        <f>'full warmup'!H128</f>
        <v>0</v>
      </c>
      <c r="I547" s="1">
        <f>'full warmup'!I128</f>
        <v>0</v>
      </c>
      <c r="J547" s="1">
        <f>'full warmup'!J128</f>
        <v>0</v>
      </c>
      <c r="K547" s="1">
        <f>'full warmup'!K128</f>
        <v>0</v>
      </c>
      <c r="L547" s="1">
        <f>'full warmup'!L128</f>
        <v>0</v>
      </c>
      <c r="M547" s="1">
        <f>'full warmup'!M128</f>
        <v>0</v>
      </c>
      <c r="O547" s="135">
        <f t="shared" si="9"/>
        <v>0</v>
      </c>
      <c r="Q547" s="135" t="str">
        <f t="shared" si="10"/>
        <v>NO</v>
      </c>
      <c r="S547" s="1" t="str">
        <f t="shared" si="11"/>
        <v>not</v>
      </c>
    </row>
    <row r="548" spans="2:19" hidden="1" x14ac:dyDescent="0.3">
      <c r="B548" s="1">
        <f>'full warmup'!B129</f>
        <v>11</v>
      </c>
      <c r="C548" s="7" t="str">
        <f>'full warmup'!AE1087</f>
        <v xml:space="preserve">Thank you, </v>
      </c>
      <c r="D548" s="1">
        <f>'full warmup'!D129</f>
        <v>0</v>
      </c>
      <c r="E548" s="1">
        <f>'full warmup'!E129</f>
        <v>0</v>
      </c>
      <c r="F548" s="1">
        <f>'full warmup'!F129</f>
        <v>0</v>
      </c>
      <c r="G548" s="1">
        <f>'full warmup'!G129</f>
        <v>0</v>
      </c>
      <c r="H548" s="1">
        <f>'full warmup'!H129</f>
        <v>0</v>
      </c>
      <c r="I548" s="1">
        <f>'full warmup'!I129</f>
        <v>0</v>
      </c>
      <c r="J548" s="1">
        <f>'full warmup'!J129</f>
        <v>0</v>
      </c>
      <c r="K548" s="1">
        <f>'full warmup'!K129</f>
        <v>0</v>
      </c>
      <c r="L548" s="1">
        <f>'full warmup'!L129</f>
        <v>0</v>
      </c>
      <c r="M548" s="1">
        <f>'full warmup'!M129</f>
        <v>0</v>
      </c>
      <c r="O548" s="135">
        <f t="shared" si="9"/>
        <v>0</v>
      </c>
      <c r="Q548" s="135" t="str">
        <f t="shared" si="10"/>
        <v>NO</v>
      </c>
      <c r="S548" s="1" t="str">
        <f t="shared" si="11"/>
        <v>not</v>
      </c>
    </row>
    <row r="549" spans="2:19" hidden="1" x14ac:dyDescent="0.3">
      <c r="B549" s="1">
        <f>'full warmup'!B130</f>
        <v>12</v>
      </c>
      <c r="C549" s="7" t="str">
        <f>'full warmup'!AE1088</f>
        <v xml:space="preserve">Thank you, </v>
      </c>
      <c r="D549" s="1">
        <f>'full warmup'!D130</f>
        <v>0</v>
      </c>
      <c r="E549" s="1">
        <f>'full warmup'!E130</f>
        <v>0</v>
      </c>
      <c r="F549" s="1">
        <f>'full warmup'!F130</f>
        <v>0</v>
      </c>
      <c r="G549" s="1">
        <f>'full warmup'!G130</f>
        <v>0</v>
      </c>
      <c r="H549" s="1">
        <f>'full warmup'!H130</f>
        <v>0</v>
      </c>
      <c r="I549" s="1">
        <f>'full warmup'!I130</f>
        <v>0</v>
      </c>
      <c r="J549" s="1">
        <f>'full warmup'!J130</f>
        <v>0</v>
      </c>
      <c r="K549" s="1">
        <f>'full warmup'!K130</f>
        <v>0</v>
      </c>
      <c r="L549" s="1">
        <f>'full warmup'!L130</f>
        <v>0</v>
      </c>
      <c r="M549" s="1">
        <f>'full warmup'!M130</f>
        <v>0</v>
      </c>
      <c r="Q549" s="135" t="str">
        <f t="shared" si="10"/>
        <v>NO</v>
      </c>
      <c r="S549" s="1" t="str">
        <f t="shared" si="11"/>
        <v>not</v>
      </c>
    </row>
    <row r="550" spans="2:19" hidden="1" x14ac:dyDescent="0.3">
      <c r="B550" s="1">
        <f>'full warmup'!B131</f>
        <v>13</v>
      </c>
      <c r="C550" s="7" t="str">
        <f>'full warmup'!AE1089</f>
        <v xml:space="preserve">Thank you, </v>
      </c>
      <c r="D550" s="1">
        <f>'full warmup'!D131</f>
        <v>0</v>
      </c>
      <c r="E550" s="1">
        <f>'full warmup'!E131</f>
        <v>0</v>
      </c>
      <c r="F550" s="1">
        <f>'full warmup'!F131</f>
        <v>0</v>
      </c>
      <c r="G550" s="1">
        <f>'full warmup'!G131</f>
        <v>0</v>
      </c>
      <c r="H550" s="1">
        <f>'full warmup'!H131</f>
        <v>0</v>
      </c>
      <c r="I550" s="1">
        <f>'full warmup'!I131</f>
        <v>0</v>
      </c>
      <c r="J550" s="1">
        <f>'full warmup'!J131</f>
        <v>0</v>
      </c>
      <c r="K550" s="1">
        <f>'full warmup'!K131</f>
        <v>0</v>
      </c>
      <c r="L550" s="1">
        <f>'full warmup'!L131</f>
        <v>0</v>
      </c>
      <c r="M550" s="1">
        <f>'full warmup'!M131</f>
        <v>0</v>
      </c>
      <c r="Q550" s="135" t="str">
        <f t="shared" si="10"/>
        <v>NO</v>
      </c>
      <c r="S550" s="1" t="str">
        <f t="shared" si="11"/>
        <v>not</v>
      </c>
    </row>
    <row r="551" spans="2:19" hidden="1" x14ac:dyDescent="0.3">
      <c r="B551" s="1">
        <f>'full warmup'!B132</f>
        <v>14</v>
      </c>
      <c r="C551" s="7" t="str">
        <f>'full warmup'!AE1090</f>
        <v xml:space="preserve">Thank you, </v>
      </c>
      <c r="D551" s="1">
        <f>'full warmup'!D132</f>
        <v>0</v>
      </c>
      <c r="E551" s="1">
        <f>'full warmup'!E132</f>
        <v>0</v>
      </c>
      <c r="F551" s="1">
        <f>'full warmup'!F132</f>
        <v>0</v>
      </c>
      <c r="G551" s="1">
        <f>'full warmup'!G132</f>
        <v>0</v>
      </c>
      <c r="H551" s="1">
        <f>'full warmup'!H132</f>
        <v>0</v>
      </c>
      <c r="I551" s="1">
        <f>'full warmup'!I132</f>
        <v>0</v>
      </c>
      <c r="J551" s="1">
        <f>'full warmup'!J132</f>
        <v>0</v>
      </c>
      <c r="K551" s="1">
        <f>'full warmup'!K132</f>
        <v>0</v>
      </c>
      <c r="L551" s="1">
        <f>'full warmup'!L132</f>
        <v>0</v>
      </c>
      <c r="M551" s="1">
        <f>'full warmup'!M132</f>
        <v>0</v>
      </c>
      <c r="Q551" s="135" t="str">
        <f t="shared" si="10"/>
        <v>NO</v>
      </c>
      <c r="S551" s="1" t="str">
        <f t="shared" si="11"/>
        <v>not</v>
      </c>
    </row>
    <row r="552" spans="2:19" hidden="1" x14ac:dyDescent="0.3">
      <c r="B552" s="1">
        <f>'full warmup'!B133</f>
        <v>15</v>
      </c>
      <c r="C552" s="7" t="str">
        <f>'full warmup'!AE1091</f>
        <v xml:space="preserve">Thank you, </v>
      </c>
      <c r="D552" s="1">
        <f>'full warmup'!D133</f>
        <v>0</v>
      </c>
      <c r="E552" s="1">
        <f>'full warmup'!E133</f>
        <v>0</v>
      </c>
      <c r="F552" s="1">
        <f>'full warmup'!F133</f>
        <v>0</v>
      </c>
      <c r="G552" s="1">
        <f>'full warmup'!G133</f>
        <v>0</v>
      </c>
      <c r="H552" s="1">
        <f>'full warmup'!H133</f>
        <v>0</v>
      </c>
      <c r="I552" s="1">
        <f>'full warmup'!I133</f>
        <v>0</v>
      </c>
      <c r="J552" s="1">
        <f>'full warmup'!J133</f>
        <v>0</v>
      </c>
      <c r="K552" s="1">
        <f>'full warmup'!K133</f>
        <v>0</v>
      </c>
      <c r="L552" s="1">
        <f>'full warmup'!L133</f>
        <v>0</v>
      </c>
      <c r="M552" s="1">
        <f>'full warmup'!M133</f>
        <v>0</v>
      </c>
      <c r="Q552" s="135" t="str">
        <f t="shared" si="10"/>
        <v>NO</v>
      </c>
      <c r="S552" s="1" t="str">
        <f t="shared" si="11"/>
        <v>not</v>
      </c>
    </row>
    <row r="553" spans="2:19" hidden="1" x14ac:dyDescent="0.3">
      <c r="B553" s="1">
        <f>'full warmup'!B134</f>
        <v>16</v>
      </c>
      <c r="C553" s="7" t="str">
        <f>'full warmup'!AE1092</f>
        <v xml:space="preserve">Thank you, </v>
      </c>
      <c r="D553" s="1">
        <f>'full warmup'!D134</f>
        <v>0</v>
      </c>
      <c r="E553" s="1">
        <f>'full warmup'!E134</f>
        <v>0</v>
      </c>
      <c r="F553" s="1">
        <f>'full warmup'!F134</f>
        <v>0</v>
      </c>
      <c r="G553" s="1">
        <f>'full warmup'!G134</f>
        <v>0</v>
      </c>
      <c r="H553" s="1">
        <f>'full warmup'!H134</f>
        <v>0</v>
      </c>
      <c r="I553" s="1">
        <f>'full warmup'!I134</f>
        <v>0</v>
      </c>
      <c r="J553" s="1">
        <f>'full warmup'!J134</f>
        <v>0</v>
      </c>
      <c r="K553" s="1">
        <f>'full warmup'!K134</f>
        <v>0</v>
      </c>
      <c r="L553" s="1">
        <f>'full warmup'!L134</f>
        <v>0</v>
      </c>
      <c r="M553" s="1">
        <f>'full warmup'!M134</f>
        <v>0</v>
      </c>
      <c r="Q553" s="135" t="str">
        <f t="shared" si="10"/>
        <v>NO</v>
      </c>
      <c r="S553" s="1" t="str">
        <f t="shared" si="11"/>
        <v>not</v>
      </c>
    </row>
    <row r="554" spans="2:19" hidden="1" x14ac:dyDescent="0.3">
      <c r="B554" s="1">
        <f>'full warmup'!B135</f>
        <v>17</v>
      </c>
      <c r="C554" s="7" t="str">
        <f>'full warmup'!AE1093</f>
        <v xml:space="preserve">Thank you, </v>
      </c>
      <c r="D554" s="1">
        <f>'full warmup'!D135</f>
        <v>0</v>
      </c>
      <c r="E554" s="1">
        <f>'full warmup'!E135</f>
        <v>0</v>
      </c>
      <c r="F554" s="1">
        <f>'full warmup'!F135</f>
        <v>0</v>
      </c>
      <c r="G554" s="1">
        <f>'full warmup'!G135</f>
        <v>0</v>
      </c>
      <c r="H554" s="1">
        <f>'full warmup'!H135</f>
        <v>0</v>
      </c>
      <c r="I554" s="1">
        <f>'full warmup'!I135</f>
        <v>0</v>
      </c>
      <c r="J554" s="1">
        <f>'full warmup'!J135</f>
        <v>0</v>
      </c>
      <c r="K554" s="1">
        <f>'full warmup'!K135</f>
        <v>0</v>
      </c>
      <c r="L554" s="1">
        <f>'full warmup'!L135</f>
        <v>0</v>
      </c>
      <c r="M554" s="1">
        <f>'full warmup'!M135</f>
        <v>0</v>
      </c>
      <c r="Q554" s="135" t="str">
        <f t="shared" si="10"/>
        <v>NO</v>
      </c>
      <c r="S554" s="1" t="str">
        <f t="shared" si="11"/>
        <v>not</v>
      </c>
    </row>
    <row r="555" spans="2:19" hidden="1" x14ac:dyDescent="0.3">
      <c r="B555" s="1">
        <f>'full warmup'!B136</f>
        <v>18</v>
      </c>
      <c r="C555" s="7" t="str">
        <f>'full warmup'!AE1094</f>
        <v xml:space="preserve">Thank you, </v>
      </c>
      <c r="D555" s="1">
        <f>'full warmup'!D136</f>
        <v>0</v>
      </c>
      <c r="E555" s="1">
        <f>'full warmup'!E136</f>
        <v>0</v>
      </c>
      <c r="F555" s="1">
        <f>'full warmup'!F136</f>
        <v>0</v>
      </c>
      <c r="G555" s="1">
        <f>'full warmup'!G136</f>
        <v>0</v>
      </c>
      <c r="H555" s="1">
        <f>'full warmup'!H136</f>
        <v>0</v>
      </c>
      <c r="I555" s="1">
        <f>'full warmup'!I136</f>
        <v>0</v>
      </c>
      <c r="J555" s="1">
        <f>'full warmup'!J136</f>
        <v>0</v>
      </c>
      <c r="K555" s="1">
        <f>'full warmup'!K136</f>
        <v>0</v>
      </c>
      <c r="L555" s="1">
        <f>'full warmup'!L136</f>
        <v>0</v>
      </c>
      <c r="M555" s="1">
        <f>'full warmup'!M136</f>
        <v>0</v>
      </c>
      <c r="Q555" s="135" t="str">
        <f t="shared" si="10"/>
        <v>NO</v>
      </c>
      <c r="S555" s="1" t="str">
        <f t="shared" si="11"/>
        <v>not</v>
      </c>
    </row>
    <row r="556" spans="2:19" hidden="1" x14ac:dyDescent="0.3">
      <c r="B556" s="1">
        <f>'full warmup'!B137</f>
        <v>19</v>
      </c>
      <c r="C556" s="7" t="str">
        <f>'full warmup'!AE1095</f>
        <v xml:space="preserve">Thank you, </v>
      </c>
      <c r="D556" s="1">
        <f>'full warmup'!D137</f>
        <v>0</v>
      </c>
      <c r="E556" s="1">
        <f>'full warmup'!E137</f>
        <v>0</v>
      </c>
      <c r="F556" s="1">
        <f>'full warmup'!F137</f>
        <v>0</v>
      </c>
      <c r="G556" s="1">
        <f>'full warmup'!G137</f>
        <v>0</v>
      </c>
      <c r="H556" s="1">
        <f>'full warmup'!H137</f>
        <v>0</v>
      </c>
      <c r="I556" s="1">
        <f>'full warmup'!I137</f>
        <v>0</v>
      </c>
      <c r="J556" s="1">
        <f>'full warmup'!J137</f>
        <v>0</v>
      </c>
      <c r="K556" s="1">
        <f>'full warmup'!K137</f>
        <v>0</v>
      </c>
      <c r="L556" s="1">
        <f>'full warmup'!L137</f>
        <v>0</v>
      </c>
      <c r="M556" s="1">
        <f>'full warmup'!M137</f>
        <v>0</v>
      </c>
      <c r="Q556" s="135" t="str">
        <f t="shared" si="10"/>
        <v>NO</v>
      </c>
      <c r="S556" s="1" t="str">
        <f t="shared" si="11"/>
        <v>not</v>
      </c>
    </row>
    <row r="557" spans="2:19" hidden="1" x14ac:dyDescent="0.3">
      <c r="B557" s="1">
        <f>'full warmup'!B138</f>
        <v>20</v>
      </c>
      <c r="C557" s="7" t="str">
        <f>'full warmup'!AE1096</f>
        <v xml:space="preserve">Thank you, </v>
      </c>
      <c r="D557" s="1">
        <f>'full warmup'!D138</f>
        <v>0</v>
      </c>
      <c r="E557" s="1">
        <f>'full warmup'!E138</f>
        <v>0</v>
      </c>
      <c r="F557" s="1">
        <f>'full warmup'!F138</f>
        <v>0</v>
      </c>
      <c r="G557" s="1">
        <f>'full warmup'!G138</f>
        <v>0</v>
      </c>
      <c r="H557" s="1">
        <f>'full warmup'!H138</f>
        <v>0</v>
      </c>
      <c r="I557" s="1">
        <f>'full warmup'!I138</f>
        <v>0</v>
      </c>
      <c r="J557" s="1">
        <f>'full warmup'!J138</f>
        <v>0</v>
      </c>
      <c r="K557" s="1">
        <f>'full warmup'!K138</f>
        <v>0</v>
      </c>
      <c r="L557" s="1">
        <f>'full warmup'!L138</f>
        <v>0</v>
      </c>
      <c r="M557" s="1">
        <f>'full warmup'!M138</f>
        <v>0</v>
      </c>
      <c r="Q557" s="135" t="str">
        <f t="shared" si="10"/>
        <v>NO</v>
      </c>
      <c r="S557" s="1" t="str">
        <f t="shared" si="11"/>
        <v>not</v>
      </c>
    </row>
    <row r="558" spans="2:19" hidden="1" x14ac:dyDescent="0.3">
      <c r="M558" s="1" t="e" cm="1">
        <f t="array" ref="M558">F</f>
        <v>#NAME?</v>
      </c>
      <c r="S558" s="4" t="str">
        <f>IF(B2=C538,S538,IF(B2=C539,S539,IF(B2=C540,S540,IF(B2=C541,S541,IF(B2=C542,S542,IF(B2=C543,S543,IF(B2=C544,S544,IF(B2=C545,S545,IF(B2=C546,S546,IF(B2=C547,S547,IF(B2=C548,S548,IF(B2=C549,S549,IF(B2=C550,S550,IF(B2=C551,S551,IF(B2=C552,S552,IF(B2=C553,S553,IF(B2=C554,S554,IF(B2=C555,S555,IF(B2=C556,S556,IF(B2=C557,S557,IF(B2="",S536)))))))))))))))))))))</f>
        <v>not</v>
      </c>
    </row>
    <row r="559" spans="2:19" hidden="1" x14ac:dyDescent="0.3"/>
    <row r="560" spans="2:19"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sheetData>
  <mergeCells count="44">
    <mergeCell ref="B21:L21"/>
    <mergeCell ref="E13:K13"/>
    <mergeCell ref="B14:M14"/>
    <mergeCell ref="B24:L24"/>
    <mergeCell ref="B27:L27"/>
    <mergeCell ref="B23:M23"/>
    <mergeCell ref="E25:K25"/>
    <mergeCell ref="B26:M26"/>
    <mergeCell ref="B20:M20"/>
    <mergeCell ref="B2:M2"/>
    <mergeCell ref="A19:N19"/>
    <mergeCell ref="B8:M8"/>
    <mergeCell ref="B9:M9"/>
    <mergeCell ref="B10:M10"/>
    <mergeCell ref="B11:M11"/>
    <mergeCell ref="B12:M12"/>
    <mergeCell ref="B4:M4"/>
    <mergeCell ref="B5:M5"/>
    <mergeCell ref="B6:M6"/>
    <mergeCell ref="B7:M7"/>
    <mergeCell ref="B16:M16"/>
    <mergeCell ref="B37:M37"/>
    <mergeCell ref="H31:I31"/>
    <mergeCell ref="F31:G31"/>
    <mergeCell ref="K31:M31"/>
    <mergeCell ref="B35:M35"/>
    <mergeCell ref="B36:M36"/>
    <mergeCell ref="B34:C34"/>
    <mergeCell ref="H34:I34"/>
    <mergeCell ref="B32:M32"/>
    <mergeCell ref="B33:L33"/>
    <mergeCell ref="C31:E31"/>
    <mergeCell ref="B22:D22"/>
    <mergeCell ref="F22:G22"/>
    <mergeCell ref="I22:J22"/>
    <mergeCell ref="K22:M22"/>
    <mergeCell ref="E34:F34"/>
    <mergeCell ref="K34:L34"/>
    <mergeCell ref="I28:J28"/>
    <mergeCell ref="B29:M29"/>
    <mergeCell ref="B30:L30"/>
    <mergeCell ref="K28:M28"/>
    <mergeCell ref="B28:D28"/>
    <mergeCell ref="F28:H28"/>
  </mergeCells>
  <phoneticPr fontId="41" type="noConversion"/>
  <conditionalFormatting sqref="A19:N19">
    <cfRule type="containsText" dxfId="14" priority="10" operator="containsText" text="SELECT">
      <formula>NOT(ISERROR(SEARCH("SELECT",A19)))</formula>
    </cfRule>
  </conditionalFormatting>
  <conditionalFormatting sqref="B21:L21">
    <cfRule type="containsText" dxfId="13" priority="31" operator="containsText" text="RESPONSIVE RATING ROUND">
      <formula>NOT(ISERROR(SEARCH("RESPONSIVE RATING ROUND",B21)))</formula>
    </cfRule>
  </conditionalFormatting>
  <conditionalFormatting sqref="B24:L24">
    <cfRule type="containsText" dxfId="12" priority="26" operator="containsText" text="RESPONSIVE RATING ROUND">
      <formula>NOT(ISERROR(SEARCH("RESPONSIVE RATING ROUND",B24)))</formula>
    </cfRule>
  </conditionalFormatting>
  <conditionalFormatting sqref="B27:L27">
    <cfRule type="containsText" dxfId="11" priority="24" operator="containsText" text="RESPONSIVE RATING ROUND">
      <formula>NOT(ISERROR(SEARCH("RESPONSIVE RATING ROUND",B27)))</formula>
    </cfRule>
  </conditionalFormatting>
  <conditionalFormatting sqref="B30:L30">
    <cfRule type="containsText" dxfId="10" priority="23" operator="containsText" text="RESPONSIVE RATING ROUND">
      <formula>NOT(ISERROR(SEARCH("RESPONSIVE RATING ROUND",B30)))</formula>
    </cfRule>
  </conditionalFormatting>
  <conditionalFormatting sqref="B33:L33">
    <cfRule type="containsText" dxfId="9" priority="22" operator="containsText" text="MUTUAL RESPONSIVENESS">
      <formula>NOT(ISERROR(SEARCH("MUTUAL RESPONSIVENESS",B33)))</formula>
    </cfRule>
  </conditionalFormatting>
  <dataValidations count="1">
    <dataValidation type="list" errorStyle="warning" allowBlank="1" showInputMessage="1" showErrorMessage="1" error="Select a name from this dropdown list" sqref="B2:M2" xr:uid="{BF1A82B7-D73A-4B3B-A1BD-89823616EF69}">
      <formula1>$C$503:$C$522</formula1>
    </dataValidation>
  </dataValidations>
  <hyperlinks>
    <hyperlink ref="E13:K13" r:id="rId1" display="https://www.anankelogyfoundation.org/need-response/wellness-campaign" xr:uid="{0C5F33CE-D5F2-4FD6-9857-CE4F81D3D61D}"/>
  </hyperlinks>
  <printOptions horizontalCentered="1"/>
  <pageMargins left="0.5" right="0.5" top="0.75" bottom="0.75" header="0.3" footer="0.3"/>
  <pageSetup orientation="portrait" r:id="rId2"/>
  <headerFooter>
    <oddHeader>&amp;C&amp;"Arial Black,Regular"&amp;14&amp;K009641Anankelogy&amp;K004623 &amp;K7030A0Foundation</oddHeader>
    <oddFooter>&amp;C&amp;D</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 operator="containsText" id="{E96BCC71-D671-4018-ADFB-F06BC76CE330}">
            <xm:f>NOT(ISERROR(SEARCH($D$502,B2)))</xm:f>
            <xm:f>$D$502</xm:f>
            <x14:dxf>
              <fill>
                <patternFill>
                  <bgColor rgb="FF7DFFBE"/>
                </patternFill>
              </fill>
            </x14:dxf>
          </x14:cfRule>
          <xm:sqref>B2:M2</xm:sqref>
        </x14:conditionalFormatting>
        <x14:conditionalFormatting xmlns:xm="http://schemas.microsoft.com/office/excel/2006/main">
          <x14:cfRule type="containsText" priority="364" operator="containsText" id="{B94DB19A-4A9A-4E30-8547-535B94C31EE1}">
            <xm:f>NOT(ISERROR(SEARCH(#REF!,B5)))</xm:f>
            <xm:f>#REF!</xm:f>
            <x14:dxf>
              <font>
                <color theme="1" tint="0.499984740745262"/>
              </font>
            </x14:dxf>
          </x14:cfRule>
          <xm:sqref>B5:M11</xm:sqref>
        </x14:conditionalFormatting>
        <x14:conditionalFormatting xmlns:xm="http://schemas.microsoft.com/office/excel/2006/main">
          <x14:cfRule type="containsText" priority="13" operator="containsText" id="{CCC62BDE-ED6A-4B15-A74C-E683FDEEFE06}">
            <xm:f>NOT(ISERROR(SEARCH('full warmup'!$E$140,B8)))</xm:f>
            <xm:f>'full warmup'!$E$140</xm:f>
            <x14:dxf>
              <font>
                <b/>
                <i val="0"/>
              </font>
            </x14:dxf>
          </x14:cfRule>
          <xm:sqref>B8:M8</xm:sqref>
        </x14:conditionalFormatting>
        <x14:conditionalFormatting xmlns:xm="http://schemas.microsoft.com/office/excel/2006/main">
          <x14:cfRule type="containsText" priority="32" operator="containsText" id="{5C3F0CFF-5A9B-4308-AF01-4418F5887136}">
            <xm:f>NOT(ISERROR(SEARCH($C$525,E13)))</xm:f>
            <xm:f>$C$525</xm:f>
            <x14:dxf>
              <font>
                <color rgb="FFC8AAE6"/>
              </font>
              <fill>
                <patternFill>
                  <bgColor rgb="FF7030A0"/>
                </patternFill>
              </fill>
            </x14:dxf>
          </x14:cfRule>
          <xm:sqref>E13:K13</xm:sqref>
        </x14:conditionalFormatting>
        <x14:conditionalFormatting xmlns:xm="http://schemas.microsoft.com/office/excel/2006/main">
          <x14:cfRule type="cellIs" priority="30" operator="equal" id="{0A91E3EB-9E24-45E5-ADDB-F2E978E60021}">
            <xm:f>'full warmup'!$BE$1061*0.01</xm:f>
            <x14:dxf>
              <font>
                <color rgb="FFC8AAE6"/>
              </font>
              <fill>
                <patternFill>
                  <bgColor rgb="FF461E64"/>
                </patternFill>
              </fill>
              <border>
                <right style="thin">
                  <color theme="0"/>
                </right>
                <top style="thin">
                  <color theme="0"/>
                </top>
                <bottom style="thin">
                  <color theme="0"/>
                </bottom>
                <vertical/>
                <horizontal/>
              </border>
            </x14:dxf>
          </x14:cfRule>
          <xm:sqref>M21</xm:sqref>
        </x14:conditionalFormatting>
        <x14:conditionalFormatting xmlns:xm="http://schemas.microsoft.com/office/excel/2006/main">
          <x14:cfRule type="cellIs" priority="25" operator="equal" id="{F1D7C5FD-9E38-4A97-86C4-50B4BE5D453A}">
            <xm:f>'full warmup'!$BE$1062*0.01</xm:f>
            <x14:dxf>
              <font>
                <color rgb="FFC8AAE6"/>
              </font>
              <fill>
                <patternFill>
                  <bgColor rgb="FF461E64"/>
                </patternFill>
              </fill>
              <border>
                <right style="thin">
                  <color theme="0"/>
                </right>
                <top style="thin">
                  <color theme="0"/>
                </top>
                <bottom style="thin">
                  <color theme="0"/>
                </bottom>
                <vertical/>
                <horizontal/>
              </border>
            </x14:dxf>
          </x14:cfRule>
          <xm:sqref>M24</xm:sqref>
        </x14:conditionalFormatting>
        <x14:conditionalFormatting xmlns:xm="http://schemas.microsoft.com/office/excel/2006/main">
          <x14:cfRule type="cellIs" priority="18" operator="equal" id="{42356812-3B3C-459D-8C44-A16967542EFF}">
            <xm:f>'full warmup'!$BE$1063*0.01</xm:f>
            <x14:dxf>
              <font>
                <color rgb="FFC8AAE6"/>
              </font>
              <fill>
                <patternFill>
                  <bgColor rgb="FF461E64"/>
                </patternFill>
              </fill>
              <border>
                <right style="thin">
                  <color theme="0"/>
                </right>
                <top style="thin">
                  <color theme="0"/>
                </top>
                <bottom style="thin">
                  <color theme="0"/>
                </bottom>
                <vertical/>
                <horizontal/>
              </border>
            </x14:dxf>
          </x14:cfRule>
          <xm:sqref>M27</xm:sqref>
        </x14:conditionalFormatting>
        <x14:conditionalFormatting xmlns:xm="http://schemas.microsoft.com/office/excel/2006/main">
          <x14:cfRule type="cellIs" priority="17" operator="equal" id="{F7469C25-552E-45FD-AABE-21F0D7D9C588}">
            <xm:f>'full warmup'!$BE$1064*0.01</xm:f>
            <x14:dxf>
              <font>
                <color rgb="FFC8AAE6"/>
              </font>
              <fill>
                <patternFill>
                  <bgColor rgb="FF461E64"/>
                </patternFill>
              </fill>
              <border>
                <right style="thin">
                  <color theme="0"/>
                </right>
                <top style="thin">
                  <color theme="0"/>
                </top>
                <bottom style="thin">
                  <color theme="0"/>
                </bottom>
                <vertical/>
                <horizontal/>
              </border>
            </x14:dxf>
          </x14:cfRule>
          <xm:sqref>M30</xm:sqref>
        </x14:conditionalFormatting>
        <x14:conditionalFormatting xmlns:xm="http://schemas.microsoft.com/office/excel/2006/main">
          <x14:cfRule type="cellIs" priority="16" operator="equal" id="{94E7E11A-7A5D-496F-B49D-A93047606110}">
            <xm:f>'full warmup'!$BE$1065*0.01</xm:f>
            <x14:dxf>
              <font>
                <color rgb="FFC8AAE6"/>
              </font>
              <fill>
                <patternFill>
                  <bgColor rgb="FF461E64"/>
                </patternFill>
              </fill>
              <border>
                <right style="thin">
                  <color theme="0"/>
                </right>
                <top style="thin">
                  <color theme="0"/>
                </top>
                <bottom style="thin">
                  <color theme="0"/>
                </bottom>
                <vertical/>
                <horizontal/>
              </border>
            </x14:dxf>
          </x14:cfRule>
          <xm:sqref>M33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B840F-E693-4F56-B525-76432BF6499F}">
  <dimension ref="A1:Q705"/>
  <sheetViews>
    <sheetView zoomScaleNormal="100" zoomScaleSheetLayoutView="100" workbookViewId="0">
      <selection activeCell="N3" sqref="A1:N3"/>
    </sheetView>
  </sheetViews>
  <sheetFormatPr defaultColWidth="8.90625" defaultRowHeight="13" x14ac:dyDescent="0.3"/>
  <cols>
    <col min="1" max="1" width="1.6328125" style="2" customWidth="1"/>
    <col min="2" max="2" width="4.36328125" style="1" customWidth="1"/>
    <col min="3" max="7" width="7.36328125" style="1" customWidth="1"/>
    <col min="8" max="8" width="7.36328125" style="3" customWidth="1"/>
    <col min="9" max="12" width="7.36328125" style="1" customWidth="1"/>
    <col min="13" max="13" width="10.36328125" style="1" customWidth="1"/>
    <col min="14" max="14" width="1.6328125" style="2" customWidth="1"/>
    <col min="15"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14" ht="10" customHeight="1" thickBot="1" x14ac:dyDescent="0.35">
      <c r="A1" s="96"/>
      <c r="B1" s="99"/>
      <c r="C1" s="97"/>
      <c r="D1" s="97"/>
      <c r="E1" s="97"/>
      <c r="F1" s="97"/>
      <c r="G1" s="97"/>
      <c r="H1" s="97"/>
      <c r="I1" s="97"/>
      <c r="J1" s="97"/>
      <c r="K1" s="97"/>
      <c r="L1" s="97"/>
      <c r="M1" s="97"/>
      <c r="N1" s="98"/>
    </row>
    <row r="2" spans="1:14" ht="45" customHeight="1" thickTop="1" thickBot="1" x14ac:dyDescent="0.35">
      <c r="A2" s="47"/>
      <c r="B2" s="293" t="str">
        <f>C631</f>
        <v>Here is your "responsive reputation" score</v>
      </c>
      <c r="C2" s="294"/>
      <c r="D2" s="294"/>
      <c r="E2" s="294"/>
      <c r="F2" s="294"/>
      <c r="G2" s="294"/>
      <c r="H2" s="294"/>
      <c r="I2" s="294"/>
      <c r="J2" s="294"/>
      <c r="K2" s="294"/>
      <c r="L2" s="294"/>
      <c r="M2" s="295"/>
      <c r="N2" s="48"/>
    </row>
    <row r="3" spans="1:14" ht="10" customHeight="1" thickTop="1" x14ac:dyDescent="0.3">
      <c r="A3" s="47"/>
      <c r="B3" s="73"/>
      <c r="C3" s="74"/>
      <c r="D3" s="74"/>
      <c r="E3" s="74"/>
      <c r="F3" s="74"/>
      <c r="G3" s="74"/>
      <c r="H3" s="74"/>
      <c r="I3" s="74"/>
      <c r="J3" s="74"/>
      <c r="K3" s="74"/>
      <c r="L3" s="74"/>
      <c r="M3" s="74"/>
      <c r="N3" s="48"/>
    </row>
    <row r="4" spans="1:14" ht="15" customHeight="1" x14ac:dyDescent="0.3">
      <c r="A4" s="126"/>
      <c r="B4" s="285"/>
      <c r="C4" s="285"/>
      <c r="D4" s="285"/>
      <c r="E4" s="285"/>
      <c r="F4" s="285"/>
      <c r="G4" s="285"/>
      <c r="H4" s="285"/>
      <c r="I4" s="285"/>
      <c r="J4" s="285"/>
      <c r="K4" s="285"/>
      <c r="L4" s="285"/>
      <c r="M4" s="285"/>
      <c r="N4" s="127"/>
    </row>
    <row r="5" spans="1:14" ht="15" customHeight="1" x14ac:dyDescent="0.3">
      <c r="A5" s="21"/>
      <c r="B5" s="88"/>
      <c r="C5" s="88"/>
      <c r="D5" s="88"/>
      <c r="E5" s="88"/>
      <c r="F5" s="88"/>
      <c r="G5" s="88"/>
      <c r="H5" s="88"/>
      <c r="I5" s="88"/>
      <c r="J5" s="88"/>
      <c r="K5" s="88"/>
      <c r="L5" s="88"/>
      <c r="M5" s="88"/>
      <c r="N5" s="20"/>
    </row>
    <row r="6" spans="1:14" ht="5" customHeight="1" x14ac:dyDescent="0.3">
      <c r="A6" s="21"/>
      <c r="B6" s="88"/>
      <c r="C6" s="88"/>
      <c r="D6" s="88"/>
      <c r="E6" s="88"/>
      <c r="F6" s="88"/>
      <c r="G6" s="88"/>
      <c r="H6" s="88"/>
      <c r="I6" s="88"/>
      <c r="J6" s="88"/>
      <c r="K6" s="88"/>
      <c r="L6" s="88"/>
      <c r="M6" s="88"/>
      <c r="N6" s="20"/>
    </row>
    <row r="7" spans="1:14" ht="20" customHeight="1" x14ac:dyDescent="0.3">
      <c r="A7" s="21"/>
      <c r="B7" s="88"/>
      <c r="C7" s="128" t="s">
        <v>223</v>
      </c>
      <c r="D7" s="286" t="str">
        <f>IF(C606=0,"",C606)</f>
        <v/>
      </c>
      <c r="E7" s="286"/>
      <c r="F7" s="286"/>
      <c r="G7" s="286"/>
      <c r="H7" s="286"/>
      <c r="I7" s="286"/>
      <c r="J7" s="286"/>
      <c r="K7" s="286"/>
      <c r="L7" s="286"/>
      <c r="M7" s="286"/>
      <c r="N7" s="20"/>
    </row>
    <row r="8" spans="1:14" ht="5" customHeight="1" x14ac:dyDescent="0.3">
      <c r="A8" s="21"/>
      <c r="B8" s="88"/>
      <c r="C8" s="129"/>
      <c r="D8" s="288"/>
      <c r="E8" s="288"/>
      <c r="F8" s="288"/>
      <c r="G8" s="288"/>
      <c r="H8" s="288"/>
      <c r="I8" s="288"/>
      <c r="J8" s="288"/>
      <c r="K8" s="288"/>
      <c r="L8" s="288"/>
      <c r="M8" s="288"/>
      <c r="N8" s="20"/>
    </row>
    <row r="9" spans="1:14" ht="20" customHeight="1" x14ac:dyDescent="0.3">
      <c r="A9" s="21"/>
      <c r="B9" s="88"/>
      <c r="C9" s="128" t="s">
        <v>224</v>
      </c>
      <c r="D9" s="286"/>
      <c r="E9" s="286"/>
      <c r="F9" s="286"/>
      <c r="G9" s="286"/>
      <c r="H9" s="286"/>
      <c r="I9" s="286"/>
      <c r="J9" s="286"/>
      <c r="K9" s="286"/>
      <c r="L9" s="286"/>
      <c r="M9" s="286"/>
      <c r="N9" s="20"/>
    </row>
    <row r="10" spans="1:14" ht="5" customHeight="1" x14ac:dyDescent="0.3">
      <c r="A10" s="21"/>
      <c r="B10" s="88"/>
      <c r="C10" s="129"/>
      <c r="D10" s="288"/>
      <c r="E10" s="288"/>
      <c r="F10" s="288"/>
      <c r="G10" s="288"/>
      <c r="H10" s="288"/>
      <c r="I10" s="288"/>
      <c r="J10" s="288"/>
      <c r="K10" s="288"/>
      <c r="L10" s="288"/>
      <c r="M10" s="288"/>
      <c r="N10" s="20"/>
    </row>
    <row r="11" spans="1:14" ht="20" customHeight="1" x14ac:dyDescent="0.3">
      <c r="A11" s="21"/>
      <c r="B11" s="88"/>
      <c r="C11" s="128" t="s">
        <v>225</v>
      </c>
      <c r="D11" s="286" t="str">
        <f>C604</f>
        <v>REMINDER to follow my wellness campaign</v>
      </c>
      <c r="E11" s="286"/>
      <c r="F11" s="286"/>
      <c r="G11" s="286"/>
      <c r="H11" s="286"/>
      <c r="I11" s="286"/>
      <c r="J11" s="286"/>
      <c r="K11" s="286"/>
      <c r="L11" s="286"/>
      <c r="M11" s="286"/>
      <c r="N11" s="20"/>
    </row>
    <row r="12" spans="1:14" ht="5" customHeight="1" x14ac:dyDescent="0.3">
      <c r="A12" s="21"/>
      <c r="B12" s="88"/>
      <c r="C12" s="129"/>
      <c r="D12" s="288"/>
      <c r="E12" s="288"/>
      <c r="F12" s="288"/>
      <c r="G12" s="288"/>
      <c r="H12" s="288"/>
      <c r="I12" s="288"/>
      <c r="J12" s="288"/>
      <c r="K12" s="288"/>
      <c r="L12" s="288"/>
      <c r="M12" s="288"/>
      <c r="N12" s="20"/>
    </row>
    <row r="13" spans="1:14" ht="20" customHeight="1" x14ac:dyDescent="0.3">
      <c r="A13" s="21"/>
      <c r="B13" s="88"/>
      <c r="C13" s="128" t="s">
        <v>222</v>
      </c>
      <c r="D13" s="287">
        <f ca="1">TODAY()</f>
        <v>45274</v>
      </c>
      <c r="E13" s="287"/>
      <c r="F13" s="287"/>
      <c r="G13" s="287"/>
      <c r="H13" s="287"/>
      <c r="I13" s="287"/>
      <c r="J13" s="287"/>
      <c r="K13" s="287"/>
      <c r="L13" s="287"/>
      <c r="M13" s="287"/>
      <c r="N13" s="20"/>
    </row>
    <row r="14" spans="1:14" ht="15" customHeight="1" x14ac:dyDescent="0.3">
      <c r="A14" s="21"/>
      <c r="B14" s="88"/>
      <c r="C14" s="88"/>
      <c r="D14" s="289"/>
      <c r="E14" s="289"/>
      <c r="F14" s="289"/>
      <c r="G14" s="289"/>
      <c r="H14" s="289"/>
      <c r="I14" s="289"/>
      <c r="J14" s="289"/>
      <c r="K14" s="289"/>
      <c r="L14" s="289"/>
      <c r="M14" s="289"/>
      <c r="N14" s="20"/>
    </row>
    <row r="15" spans="1:14" ht="70" customHeight="1" x14ac:dyDescent="0.3">
      <c r="A15" s="21"/>
      <c r="B15" s="320" t="str">
        <f>IF($G$628=0,"",C636)</f>
        <v/>
      </c>
      <c r="C15" s="320"/>
      <c r="D15" s="320"/>
      <c r="E15" s="320"/>
      <c r="F15" s="320"/>
      <c r="G15" s="320"/>
      <c r="H15" s="320"/>
      <c r="I15" s="320"/>
      <c r="J15" s="320"/>
      <c r="K15" s="320"/>
      <c r="L15" s="320"/>
      <c r="M15" s="320"/>
      <c r="N15" s="20"/>
    </row>
    <row r="16" spans="1:14" ht="70" customHeight="1" x14ac:dyDescent="0.3">
      <c r="A16" s="21"/>
      <c r="B16" s="320" t="str">
        <f>IF($G$628=0,"",C637)</f>
        <v/>
      </c>
      <c r="C16" s="320"/>
      <c r="D16" s="320"/>
      <c r="E16" s="320"/>
      <c r="F16" s="320"/>
      <c r="G16" s="320"/>
      <c r="H16" s="320"/>
      <c r="I16" s="320"/>
      <c r="J16" s="320"/>
      <c r="K16" s="320"/>
      <c r="L16" s="320"/>
      <c r="M16" s="320"/>
      <c r="N16" s="20"/>
    </row>
    <row r="17" spans="1:14" ht="10" customHeight="1" thickBot="1" x14ac:dyDescent="0.35">
      <c r="A17" s="21"/>
      <c r="B17" s="318"/>
      <c r="C17" s="318"/>
      <c r="D17" s="318"/>
      <c r="E17" s="318"/>
      <c r="F17" s="318"/>
      <c r="G17" s="318"/>
      <c r="H17" s="318"/>
      <c r="I17" s="318"/>
      <c r="J17" s="318"/>
      <c r="K17" s="318"/>
      <c r="L17" s="318"/>
      <c r="M17" s="318"/>
      <c r="N17" s="20"/>
    </row>
    <row r="18" spans="1:14" ht="35" customHeight="1" thickTop="1" thickBot="1" x14ac:dyDescent="0.35">
      <c r="A18" s="21"/>
      <c r="B18" s="316" t="s">
        <v>431</v>
      </c>
      <c r="C18" s="317"/>
      <c r="D18" s="317"/>
      <c r="E18" s="317"/>
      <c r="F18" s="317"/>
      <c r="G18" s="317"/>
      <c r="H18" s="317"/>
      <c r="I18" s="317"/>
      <c r="J18" s="317"/>
      <c r="K18" s="317"/>
      <c r="L18" s="314" t="str">
        <f>CONCATENATE(G628,"%")</f>
        <v>%</v>
      </c>
      <c r="M18" s="315"/>
      <c r="N18" s="20"/>
    </row>
    <row r="19" spans="1:14" ht="10" customHeight="1" thickTop="1" x14ac:dyDescent="0.3">
      <c r="A19" s="21"/>
      <c r="B19" s="319"/>
      <c r="C19" s="319"/>
      <c r="D19" s="319"/>
      <c r="E19" s="319"/>
      <c r="F19" s="319"/>
      <c r="G19" s="319"/>
      <c r="H19" s="319"/>
      <c r="I19" s="319"/>
      <c r="J19" s="319"/>
      <c r="K19" s="319"/>
      <c r="L19" s="319"/>
      <c r="M19" s="319"/>
      <c r="N19" s="20"/>
    </row>
    <row r="20" spans="1:14" ht="95" customHeight="1" x14ac:dyDescent="0.3">
      <c r="A20" s="21"/>
      <c r="B20" s="320" t="str">
        <f>IF($G$628=0,"",C638)</f>
        <v/>
      </c>
      <c r="C20" s="320"/>
      <c r="D20" s="320"/>
      <c r="E20" s="320"/>
      <c r="F20" s="320"/>
      <c r="G20" s="320"/>
      <c r="H20" s="320"/>
      <c r="I20" s="320"/>
      <c r="J20" s="320"/>
      <c r="K20" s="320"/>
      <c r="L20" s="320"/>
      <c r="M20" s="320"/>
      <c r="N20" s="20"/>
    </row>
    <row r="21" spans="1:14" ht="70" customHeight="1" x14ac:dyDescent="0.3">
      <c r="A21" s="21"/>
      <c r="B21" s="320" t="str">
        <f t="shared" ref="B21:B22" si="0">IF($G$628=0,"",C639)</f>
        <v/>
      </c>
      <c r="C21" s="320"/>
      <c r="D21" s="320"/>
      <c r="E21" s="320"/>
      <c r="F21" s="320"/>
      <c r="G21" s="320"/>
      <c r="H21" s="320"/>
      <c r="I21" s="320"/>
      <c r="J21" s="320"/>
      <c r="K21" s="320"/>
      <c r="L21" s="320"/>
      <c r="M21" s="320"/>
      <c r="N21" s="20"/>
    </row>
    <row r="22" spans="1:14" ht="70" customHeight="1" x14ac:dyDescent="0.3">
      <c r="A22" s="21"/>
      <c r="B22" s="320" t="str">
        <f t="shared" si="0"/>
        <v/>
      </c>
      <c r="C22" s="320"/>
      <c r="D22" s="320"/>
      <c r="E22" s="320"/>
      <c r="F22" s="320"/>
      <c r="G22" s="320"/>
      <c r="H22" s="320"/>
      <c r="I22" s="320"/>
      <c r="J22" s="320"/>
      <c r="K22" s="320"/>
      <c r="L22" s="320"/>
      <c r="M22" s="320"/>
      <c r="N22" s="20"/>
    </row>
    <row r="23" spans="1:14" ht="10" customHeight="1" x14ac:dyDescent="0.3">
      <c r="A23" s="21"/>
      <c r="B23" s="131"/>
      <c r="C23" s="39"/>
      <c r="D23" s="39"/>
      <c r="E23" s="39"/>
      <c r="F23" s="39"/>
      <c r="G23" s="39"/>
      <c r="H23" s="39"/>
      <c r="I23" s="39"/>
      <c r="J23" s="39"/>
      <c r="K23" s="39"/>
      <c r="L23" s="39"/>
      <c r="M23" s="39"/>
      <c r="N23" s="20"/>
    </row>
    <row r="24" spans="1:14" ht="20" customHeight="1" x14ac:dyDescent="0.3">
      <c r="A24" s="21"/>
      <c r="B24" s="131"/>
      <c r="C24" s="39"/>
      <c r="D24" s="39"/>
      <c r="E24" s="39"/>
      <c r="F24" s="39"/>
      <c r="G24" s="39"/>
      <c r="H24" s="39"/>
      <c r="I24" s="39"/>
      <c r="J24" s="39"/>
      <c r="K24" s="39"/>
      <c r="L24" s="39"/>
      <c r="M24" s="39"/>
      <c r="N24" s="20"/>
    </row>
    <row r="25" spans="1:14" ht="30" customHeight="1" x14ac:dyDescent="0.3">
      <c r="A25" s="21"/>
      <c r="B25" s="321" t="str">
        <f>IF(OR(D11="",G628=0),G659,C659)</f>
        <v>FOLLOW my wellness campaign for FREE</v>
      </c>
      <c r="C25" s="321"/>
      <c r="D25" s="321"/>
      <c r="E25" s="321"/>
      <c r="F25" s="321"/>
      <c r="G25" s="321"/>
      <c r="H25" s="321"/>
      <c r="I25" s="321"/>
      <c r="J25" s="321"/>
      <c r="K25" s="321"/>
      <c r="L25" s="321"/>
      <c r="M25" s="321"/>
      <c r="N25" s="20"/>
    </row>
    <row r="26" spans="1:14" ht="30" customHeight="1" x14ac:dyDescent="0.3">
      <c r="A26" s="21"/>
      <c r="B26" s="133"/>
      <c r="C26" s="133"/>
      <c r="D26" s="133"/>
      <c r="E26" s="133"/>
      <c r="F26" s="133"/>
      <c r="G26" s="133"/>
      <c r="H26" s="133"/>
      <c r="I26" s="133"/>
      <c r="J26" s="133"/>
      <c r="K26" s="133"/>
      <c r="L26" s="133"/>
      <c r="M26" s="133"/>
      <c r="N26" s="20"/>
    </row>
    <row r="27" spans="1:14" ht="10" customHeight="1" x14ac:dyDescent="0.3">
      <c r="A27" s="19"/>
      <c r="B27" s="130"/>
      <c r="C27" s="130"/>
      <c r="D27" s="130"/>
      <c r="E27" s="130"/>
      <c r="F27" s="130"/>
      <c r="G27" s="130"/>
      <c r="H27" s="130"/>
      <c r="I27" s="130"/>
      <c r="J27" s="130"/>
      <c r="K27" s="130"/>
      <c r="L27" s="130"/>
      <c r="M27" s="130"/>
      <c r="N27" s="16"/>
    </row>
    <row r="332" spans="2:13" s="2" customFormat="1" x14ac:dyDescent="0.3">
      <c r="B332" s="1"/>
      <c r="C332" s="1"/>
      <c r="D332" s="1"/>
      <c r="E332" s="1"/>
      <c r="F332" s="1"/>
      <c r="G332" s="1"/>
      <c r="H332" s="3"/>
      <c r="I332" s="1"/>
      <c r="J332" s="1"/>
      <c r="K332" s="1"/>
      <c r="L332" s="1"/>
      <c r="M332" s="1"/>
    </row>
    <row r="601" spans="2:12" hidden="1" x14ac:dyDescent="0.3"/>
    <row r="602" spans="2:12" hidden="1" x14ac:dyDescent="0.3"/>
    <row r="603" spans="2:12" hidden="1" x14ac:dyDescent="0.3"/>
    <row r="604" spans="2:12" hidden="1" x14ac:dyDescent="0.3">
      <c r="C604" s="4" t="str">
        <f>IF(K604=0,H604,CONCATENATE(J604,K604,L604))</f>
        <v>REMINDER to follow my wellness campaign</v>
      </c>
      <c r="G604" s="6" t="s">
        <v>3</v>
      </c>
      <c r="H604" s="3" t="s">
        <v>430</v>
      </c>
      <c r="I604" s="6" t="s">
        <v>3</v>
      </c>
      <c r="J604" s="3" t="s">
        <v>429</v>
      </c>
      <c r="K604" s="1">
        <f>'full warmup'!E5</f>
        <v>0</v>
      </c>
      <c r="L604" s="91" t="s">
        <v>428</v>
      </c>
    </row>
    <row r="605" spans="2:12" hidden="1" x14ac:dyDescent="0.3"/>
    <row r="606" spans="2:12" hidden="1" x14ac:dyDescent="0.3">
      <c r="C606" s="4">
        <f>'full warmup'!E5</f>
        <v>0</v>
      </c>
    </row>
    <row r="607" spans="2:12" hidden="1" x14ac:dyDescent="0.3"/>
    <row r="608" spans="2:12" hidden="1" x14ac:dyDescent="0.3">
      <c r="B608" s="1">
        <v>1</v>
      </c>
      <c r="C608" s="1" t="str">
        <f>'full warmup'!C1077</f>
        <v/>
      </c>
      <c r="E608" s="1">
        <f>'full warmup'!C119</f>
        <v>0</v>
      </c>
      <c r="G608" s="169">
        <f>ROUND('full warmup'!M119*100,0)</f>
        <v>0</v>
      </c>
    </row>
    <row r="609" spans="2:7" hidden="1" x14ac:dyDescent="0.3">
      <c r="B609" s="1">
        <v>2</v>
      </c>
      <c r="C609" s="1" t="str">
        <f>'full warmup'!C1078</f>
        <v/>
      </c>
      <c r="E609" s="1">
        <f>'full warmup'!C120</f>
        <v>0</v>
      </c>
      <c r="G609" s="169">
        <f>ROUND('full warmup'!M120*100,0)</f>
        <v>0</v>
      </c>
    </row>
    <row r="610" spans="2:7" hidden="1" x14ac:dyDescent="0.3">
      <c r="B610" s="1">
        <v>3</v>
      </c>
      <c r="C610" s="1" t="str">
        <f>'full warmup'!C1079</f>
        <v/>
      </c>
      <c r="E610" s="1">
        <f>'full warmup'!C121</f>
        <v>0</v>
      </c>
      <c r="G610" s="169">
        <f>ROUND('full warmup'!M121*100,0)</f>
        <v>0</v>
      </c>
    </row>
    <row r="611" spans="2:7" hidden="1" x14ac:dyDescent="0.3">
      <c r="B611" s="1">
        <v>4</v>
      </c>
      <c r="C611" s="1" t="str">
        <f>'full warmup'!C1080</f>
        <v/>
      </c>
      <c r="E611" s="1">
        <f>'full warmup'!C122</f>
        <v>0</v>
      </c>
      <c r="G611" s="169">
        <f>ROUND('full warmup'!M122*100,0)</f>
        <v>0</v>
      </c>
    </row>
    <row r="612" spans="2:7" hidden="1" x14ac:dyDescent="0.3">
      <c r="B612" s="1">
        <v>5</v>
      </c>
      <c r="C612" s="1" t="str">
        <f>'full warmup'!C1081</f>
        <v/>
      </c>
      <c r="E612" s="1">
        <f>'full warmup'!C123</f>
        <v>0</v>
      </c>
      <c r="G612" s="169">
        <f>ROUND('full warmup'!M123*100,0)</f>
        <v>0</v>
      </c>
    </row>
    <row r="613" spans="2:7" hidden="1" x14ac:dyDescent="0.3">
      <c r="B613" s="1">
        <v>6</v>
      </c>
      <c r="C613" s="1" t="str">
        <f>'full warmup'!C1082</f>
        <v/>
      </c>
      <c r="E613" s="1">
        <f>'full warmup'!C124</f>
        <v>0</v>
      </c>
      <c r="G613" s="169">
        <f>ROUND('full warmup'!M124*100,0)</f>
        <v>0</v>
      </c>
    </row>
    <row r="614" spans="2:7" hidden="1" x14ac:dyDescent="0.3">
      <c r="B614" s="1">
        <v>7</v>
      </c>
      <c r="C614" s="1" t="str">
        <f>'full warmup'!C1083</f>
        <v/>
      </c>
      <c r="E614" s="1">
        <f>'full warmup'!C125</f>
        <v>0</v>
      </c>
      <c r="G614" s="169">
        <f>ROUND('full warmup'!M125*100,0)</f>
        <v>0</v>
      </c>
    </row>
    <row r="615" spans="2:7" hidden="1" x14ac:dyDescent="0.3">
      <c r="B615" s="1">
        <v>8</v>
      </c>
      <c r="C615" s="1" t="str">
        <f>'full warmup'!C1084</f>
        <v/>
      </c>
      <c r="E615" s="1">
        <f>'full warmup'!C126</f>
        <v>0</v>
      </c>
      <c r="G615" s="169">
        <f>ROUND('full warmup'!M126*100,0)</f>
        <v>0</v>
      </c>
    </row>
    <row r="616" spans="2:7" hidden="1" x14ac:dyDescent="0.3">
      <c r="B616" s="1">
        <v>9</v>
      </c>
      <c r="C616" s="1" t="str">
        <f>'full warmup'!C1085</f>
        <v/>
      </c>
      <c r="E616" s="1">
        <f>'full warmup'!C127</f>
        <v>0</v>
      </c>
      <c r="G616" s="169">
        <f>ROUND('full warmup'!M127*100,0)</f>
        <v>0</v>
      </c>
    </row>
    <row r="617" spans="2:7" hidden="1" x14ac:dyDescent="0.3">
      <c r="B617" s="1">
        <v>10</v>
      </c>
      <c r="C617" s="1" t="str">
        <f>'full warmup'!C1086</f>
        <v/>
      </c>
      <c r="E617" s="1">
        <f>'full warmup'!C128</f>
        <v>0</v>
      </c>
      <c r="G617" s="169">
        <f>ROUND('full warmup'!M128*100,0)</f>
        <v>0</v>
      </c>
    </row>
    <row r="618" spans="2:7" hidden="1" x14ac:dyDescent="0.3">
      <c r="B618" s="1">
        <v>11</v>
      </c>
      <c r="C618" s="1" t="str">
        <f>'full warmup'!C1087</f>
        <v/>
      </c>
      <c r="E618" s="1">
        <f>'full warmup'!C129</f>
        <v>0</v>
      </c>
      <c r="G618" s="169">
        <f>ROUND('full warmup'!M129*100,0)</f>
        <v>0</v>
      </c>
    </row>
    <row r="619" spans="2:7" hidden="1" x14ac:dyDescent="0.3">
      <c r="B619" s="1">
        <v>12</v>
      </c>
      <c r="C619" s="1" t="str">
        <f>'full warmup'!C1088</f>
        <v/>
      </c>
      <c r="E619" s="1">
        <f>'full warmup'!C130</f>
        <v>0</v>
      </c>
      <c r="G619" s="169">
        <f>ROUND('full warmup'!M130*100,0)</f>
        <v>0</v>
      </c>
    </row>
    <row r="620" spans="2:7" hidden="1" x14ac:dyDescent="0.3">
      <c r="B620" s="1">
        <v>13</v>
      </c>
      <c r="C620" s="1" t="str">
        <f>'full warmup'!C1089</f>
        <v/>
      </c>
      <c r="E620" s="1">
        <f>'full warmup'!C131</f>
        <v>0</v>
      </c>
      <c r="G620" s="169">
        <f>ROUND('full warmup'!M131*100,0)</f>
        <v>0</v>
      </c>
    </row>
    <row r="621" spans="2:7" hidden="1" x14ac:dyDescent="0.3">
      <c r="B621" s="1">
        <v>14</v>
      </c>
      <c r="C621" s="1" t="str">
        <f>'full warmup'!C1090</f>
        <v/>
      </c>
      <c r="E621" s="1">
        <f>'full warmup'!C132</f>
        <v>0</v>
      </c>
      <c r="G621" s="169">
        <f>ROUND('full warmup'!M132*100,0)</f>
        <v>0</v>
      </c>
    </row>
    <row r="622" spans="2:7" hidden="1" x14ac:dyDescent="0.3">
      <c r="B622" s="1">
        <v>15</v>
      </c>
      <c r="C622" s="1" t="str">
        <f>'full warmup'!C1091</f>
        <v/>
      </c>
      <c r="E622" s="1">
        <f>'full warmup'!C133</f>
        <v>0</v>
      </c>
      <c r="G622" s="169">
        <f>ROUND('full warmup'!M133*100,0)</f>
        <v>0</v>
      </c>
    </row>
    <row r="623" spans="2:7" hidden="1" x14ac:dyDescent="0.3">
      <c r="B623" s="1">
        <v>16</v>
      </c>
      <c r="C623" s="1" t="str">
        <f>'full warmup'!C1092</f>
        <v/>
      </c>
      <c r="E623" s="1">
        <f>'full warmup'!C134</f>
        <v>0</v>
      </c>
      <c r="G623" s="169">
        <f>ROUND('full warmup'!M134*100,0)</f>
        <v>0</v>
      </c>
    </row>
    <row r="624" spans="2:7" hidden="1" x14ac:dyDescent="0.3">
      <c r="B624" s="1">
        <v>17</v>
      </c>
      <c r="C624" s="1" t="str">
        <f>'full warmup'!C1093</f>
        <v/>
      </c>
      <c r="E624" s="1">
        <f>'full warmup'!C135</f>
        <v>0</v>
      </c>
      <c r="G624" s="169">
        <f>ROUND('full warmup'!M135*100,0)</f>
        <v>0</v>
      </c>
    </row>
    <row r="625" spans="2:17" hidden="1" x14ac:dyDescent="0.3">
      <c r="B625" s="1">
        <v>18</v>
      </c>
      <c r="C625" s="1" t="str">
        <f>'full warmup'!C1094</f>
        <v/>
      </c>
      <c r="E625" s="1">
        <f>'full warmup'!C136</f>
        <v>0</v>
      </c>
      <c r="G625" s="169">
        <f>ROUND('full warmup'!M136*100,0)</f>
        <v>0</v>
      </c>
    </row>
    <row r="626" spans="2:17" hidden="1" x14ac:dyDescent="0.3">
      <c r="B626" s="1">
        <v>19</v>
      </c>
      <c r="C626" s="1" t="str">
        <f>'full warmup'!C1095</f>
        <v/>
      </c>
      <c r="E626" s="1">
        <f>'full warmup'!C137</f>
        <v>0</v>
      </c>
      <c r="G626" s="169">
        <f>ROUND('full warmup'!M137*100,0)</f>
        <v>0</v>
      </c>
    </row>
    <row r="627" spans="2:17" hidden="1" x14ac:dyDescent="0.3">
      <c r="B627" s="1">
        <v>20</v>
      </c>
      <c r="C627" s="1" t="str">
        <f>'full warmup'!C1096</f>
        <v/>
      </c>
      <c r="E627" s="1">
        <f>'full warmup'!C138</f>
        <v>0</v>
      </c>
      <c r="G627" s="169">
        <f>ROUND('full warmup'!M138*100,0)</f>
        <v>0</v>
      </c>
    </row>
    <row r="628" spans="2:17" hidden="1" x14ac:dyDescent="0.3">
      <c r="C628" s="90">
        <f>$D$9</f>
        <v>0</v>
      </c>
      <c r="E628" s="90" t="str">
        <f>IF($C628=$C608,E608,IF($C628=$C609,E609,IF($C628=$C610,E610,IF($C628=$C611,E611,IF($C628=$C612,E612,IF($C628=$C613,E613,IF($C628=$C614,E614,IF($C628=$C615,E615,IF($C628=$C616,E616,IF($C628=$C617,E617,IF($C628=$C618,E618,IF($C628=$C619,E619,IF($C628=$C620,E620,IF($C628=$C621,E621,IF($C628=$C622,E622,IF($C628=$C623,E623,IF($C628=$C624,E624,IF($C628=$C625,E625,IF($C628=$C626,E626,IF($C628=$C627,E627,IF($C628=0,"")))))))))))))))))))))</f>
        <v/>
      </c>
      <c r="G628" s="90" t="str">
        <f>IF($C628=$C608,G608,IF($C628=$C609,G609,IF($C628=$C610,G610,IF($C628=$C611,G611,IF($C628=$C612,G612,IF($C628=$C613,G613,IF($C628=$C614,G614,IF($C628=$C615,G615,IF($C628=$C616,G616,IF($C628=$C617,G617,IF($C628=$C618,G618,IF($C628=$C619,G619,IF($C628=$C620,G620,IF($C628=$C621,G621,IF($C628=$C622,G622,IF($C628=$C623,G623,IF($C628=$C624,G624,IF($C628=$C625,G625,IF($C628=$C626,G626,IF($C628=$C627,G627,IF($C628=0,"")))))))))))))))))))))</f>
        <v/>
      </c>
    </row>
    <row r="629" spans="2:17" hidden="1" x14ac:dyDescent="0.3">
      <c r="H629" s="1"/>
    </row>
    <row r="630" spans="2:17" hidden="1" x14ac:dyDescent="0.3">
      <c r="C630" s="6" t="str">
        <f>IF(E628=0,"",E628)</f>
        <v/>
      </c>
      <c r="D630" s="1" t="str">
        <f>IF(C628=0,"Here",", here")</f>
        <v>Here</v>
      </c>
      <c r="E630" s="1" t="s">
        <v>417</v>
      </c>
      <c r="H630" s="1"/>
      <c r="K630" s="1" t="s">
        <v>410</v>
      </c>
    </row>
    <row r="631" spans="2:17" hidden="1" x14ac:dyDescent="0.3">
      <c r="C631" s="4" t="str">
        <f>CONCATENATE(C630,D630,E630)</f>
        <v>Here is your "responsive reputation" score</v>
      </c>
    </row>
    <row r="632" spans="2:17" hidden="1" x14ac:dyDescent="0.3"/>
    <row r="633" spans="2:17" hidden="1" x14ac:dyDescent="0.3"/>
    <row r="634" spans="2:17" hidden="1" x14ac:dyDescent="0.3"/>
    <row r="635" spans="2:17" hidden="1" x14ac:dyDescent="0.3">
      <c r="J635" s="3"/>
      <c r="L635" s="3"/>
      <c r="N635" s="3"/>
    </row>
    <row r="636" spans="2:17" hidden="1" x14ac:dyDescent="0.3">
      <c r="C636" s="177" t="str">
        <f>IF($D$9="","",CONCATENATE(F636,G636,H636,I636,J636,K636,L636))</f>
        <v/>
      </c>
      <c r="D636" s="178"/>
      <c r="E636" s="6" t="s">
        <v>3</v>
      </c>
      <c r="F636" s="1" t="s">
        <v>411</v>
      </c>
      <c r="H636" s="91" t="s">
        <v>3</v>
      </c>
      <c r="J636" s="91" t="s">
        <v>3</v>
      </c>
      <c r="L636" s="91" t="s">
        <v>3</v>
      </c>
      <c r="N636" s="91" t="s">
        <v>3</v>
      </c>
      <c r="O636" s="1" t="s">
        <v>411</v>
      </c>
    </row>
    <row r="637" spans="2:17" hidden="1" x14ac:dyDescent="0.3">
      <c r="C637" s="177" t="str">
        <f>IF($D$9="","",CONCATENATE(F637,G637,H637,I637,J637,K637,L637))</f>
        <v/>
      </c>
      <c r="D637" s="178"/>
      <c r="E637" s="6" t="s">
        <v>3</v>
      </c>
      <c r="F637" s="1" t="s">
        <v>415</v>
      </c>
      <c r="G637" s="1" t="str">
        <f>E628</f>
        <v/>
      </c>
      <c r="H637" s="1" t="s">
        <v>416</v>
      </c>
      <c r="I637" s="1" t="str">
        <f>G628</f>
        <v/>
      </c>
      <c r="J637" s="1" t="s">
        <v>418</v>
      </c>
      <c r="L637" s="91" t="s">
        <v>3</v>
      </c>
      <c r="N637" s="91" t="s">
        <v>3</v>
      </c>
      <c r="O637" s="1" t="s">
        <v>412</v>
      </c>
    </row>
    <row r="638" spans="2:17" hidden="1" x14ac:dyDescent="0.3">
      <c r="C638" s="177" t="str">
        <f>IF($D$9="","",CONCATENATE(F638,G638,H638,I638,J638,K638,L638))</f>
        <v/>
      </c>
      <c r="D638" s="178"/>
      <c r="E638" s="6" t="s">
        <v>3</v>
      </c>
      <c r="F638" s="1" t="s">
        <v>419</v>
      </c>
      <c r="H638" s="91" t="s">
        <v>3</v>
      </c>
      <c r="I638" s="1" t="b">
        <f>IF(AND($I$637&gt;C643,$I$637&lt;=D643),F643,IF(AND($I$637&gt;C644,$I$637&lt;=D644),F644,IF(AND($I$637&gt;C645,$I$637&lt;=D645),F645,IF(AND($I$637&gt;C646,$I$637&lt;=D646),F646,IF(AND($I$637&gt;C647,$I$637&lt;=D647),F647,IF($I$637=0,""))))))</f>
        <v>0</v>
      </c>
      <c r="J638" s="91" t="s">
        <v>3</v>
      </c>
      <c r="L638" s="91" t="s">
        <v>3</v>
      </c>
      <c r="N638" s="91" t="s">
        <v>3</v>
      </c>
      <c r="O638" s="1" t="s">
        <v>413</v>
      </c>
    </row>
    <row r="639" spans="2:17" hidden="1" x14ac:dyDescent="0.3">
      <c r="C639" s="177" t="str">
        <f>IF($D$9="","",CONCATENATE(F639,G639,H639,I639,J639,K639,L639))</f>
        <v/>
      </c>
      <c r="D639" s="178"/>
      <c r="E639" s="6" t="s">
        <v>3</v>
      </c>
      <c r="F639" s="1" t="b">
        <f>IF(AND($I$637&gt;C650,$I$637&lt;=D650),F650,IF(AND($I$637&gt;C651,$I$637&lt;=D651),F651,IF(AND($I$637&gt;C652,$I$637&lt;=D652),F652,IF(AND($I$637&gt;C653,$I$637&lt;=D653),F653,IF(AND($I$637&gt;C654,$I$637&lt;=D654),F654,IF($I$637=0,""))))))</f>
        <v>0</v>
      </c>
      <c r="H639" s="91" t="s">
        <v>3</v>
      </c>
      <c r="J639" s="3"/>
      <c r="L639" s="91" t="s">
        <v>3</v>
      </c>
      <c r="N639" s="3"/>
      <c r="O639" s="1" t="s">
        <v>414</v>
      </c>
    </row>
    <row r="640" spans="2:17" hidden="1" x14ac:dyDescent="0.3">
      <c r="C640" s="177" t="str">
        <f>IF($D$9="","",CONCATENATE(F640,G640,H640,I640,J640,K640,L640))</f>
        <v/>
      </c>
      <c r="D640" s="178"/>
      <c r="E640" s="6" t="s">
        <v>3</v>
      </c>
      <c r="F640" s="1" t="s">
        <v>435</v>
      </c>
      <c r="G640" s="1" t="str">
        <f>IF(C606=0,"me",C606)</f>
        <v>me</v>
      </c>
      <c r="H640" s="1" t="s">
        <v>437</v>
      </c>
      <c r="J640" s="3"/>
      <c r="L640" s="91" t="s">
        <v>3</v>
      </c>
      <c r="N640" s="3"/>
      <c r="O640" s="1" t="s">
        <v>435</v>
      </c>
      <c r="P640" s="1" t="str">
        <f>IF(C606=0,"me",C606)</f>
        <v>me</v>
      </c>
      <c r="Q640" s="1" t="s">
        <v>436</v>
      </c>
    </row>
    <row r="641" spans="2:15" hidden="1" x14ac:dyDescent="0.3"/>
    <row r="642" spans="2:15" hidden="1" x14ac:dyDescent="0.3"/>
    <row r="643" spans="2:15" hidden="1" x14ac:dyDescent="0.3">
      <c r="C643" s="1">
        <v>0</v>
      </c>
      <c r="D643" s="1">
        <v>40</v>
      </c>
      <c r="F643" s="1" t="s">
        <v>420</v>
      </c>
      <c r="I643" s="6" t="s">
        <v>3</v>
      </c>
    </row>
    <row r="644" spans="2:15" hidden="1" x14ac:dyDescent="0.3">
      <c r="C644" s="1">
        <f>D643</f>
        <v>40</v>
      </c>
      <c r="D644" s="1">
        <v>60</v>
      </c>
      <c r="F644" s="1" t="s">
        <v>421</v>
      </c>
      <c r="H644" s="1"/>
      <c r="I644" s="6" t="s">
        <v>3</v>
      </c>
      <c r="N644" s="1"/>
    </row>
    <row r="645" spans="2:15" hidden="1" x14ac:dyDescent="0.3">
      <c r="C645" s="1">
        <f t="shared" ref="C645:C647" si="1">D644</f>
        <v>60</v>
      </c>
      <c r="D645" s="1">
        <v>75</v>
      </c>
      <c r="F645" s="1" t="s">
        <v>422</v>
      </c>
      <c r="H645" s="1"/>
      <c r="I645" s="6" t="s">
        <v>3</v>
      </c>
      <c r="N645" s="1"/>
    </row>
    <row r="646" spans="2:15" s="2" customFormat="1" hidden="1" x14ac:dyDescent="0.3">
      <c r="B646" s="1"/>
      <c r="C646" s="1">
        <f t="shared" si="1"/>
        <v>75</v>
      </c>
      <c r="D646" s="1">
        <v>90</v>
      </c>
      <c r="E646" s="1"/>
      <c r="F646" s="1" t="s">
        <v>423</v>
      </c>
      <c r="G646" s="1"/>
      <c r="H646" s="1"/>
      <c r="I646" s="6" t="s">
        <v>3</v>
      </c>
      <c r="J646" s="1"/>
      <c r="K646" s="1"/>
      <c r="L646" s="1"/>
      <c r="M646" s="1"/>
      <c r="N646" s="1"/>
      <c r="O646" s="1"/>
    </row>
    <row r="647" spans="2:15" s="2" customFormat="1" hidden="1" x14ac:dyDescent="0.3">
      <c r="B647" s="1"/>
      <c r="C647" s="1">
        <f t="shared" si="1"/>
        <v>90</v>
      </c>
      <c r="D647" s="1">
        <v>100</v>
      </c>
      <c r="E647" s="1"/>
      <c r="F647" s="1" t="s">
        <v>427</v>
      </c>
      <c r="G647" s="1"/>
      <c r="H647" s="1"/>
      <c r="I647" s="6" t="s">
        <v>3</v>
      </c>
      <c r="J647" s="1"/>
      <c r="K647" s="1"/>
      <c r="L647" s="1"/>
      <c r="M647" s="1"/>
      <c r="N647" s="1"/>
      <c r="O647" s="1"/>
    </row>
    <row r="648" spans="2:15" s="2" customFormat="1" hidden="1" x14ac:dyDescent="0.3">
      <c r="B648" s="1"/>
      <c r="C648" s="1"/>
      <c r="D648" s="1"/>
      <c r="E648" s="1"/>
      <c r="F648" s="1"/>
      <c r="G648" s="1"/>
      <c r="H648" s="1"/>
      <c r="I648" s="1"/>
      <c r="J648" s="1"/>
      <c r="K648" s="1"/>
      <c r="L648" s="1"/>
      <c r="M648" s="1"/>
      <c r="N648" s="1"/>
      <c r="O648" s="1"/>
    </row>
    <row r="649" spans="2:15" s="2" customFormat="1" hidden="1" x14ac:dyDescent="0.3">
      <c r="B649" s="1"/>
      <c r="C649" s="1"/>
      <c r="D649" s="1"/>
      <c r="E649" s="1"/>
      <c r="F649" s="1"/>
      <c r="G649" s="1"/>
      <c r="H649" s="1"/>
      <c r="I649" s="1"/>
      <c r="J649" s="1"/>
      <c r="K649" s="1"/>
      <c r="L649" s="1"/>
      <c r="M649" s="1"/>
      <c r="N649" s="1"/>
      <c r="O649" s="1"/>
    </row>
    <row r="650" spans="2:15" s="2" customFormat="1" hidden="1" x14ac:dyDescent="0.3">
      <c r="B650" s="1"/>
      <c r="C650" s="1">
        <v>0</v>
      </c>
      <c r="D650" s="1">
        <v>40</v>
      </c>
      <c r="E650" s="1"/>
      <c r="F650" s="1" t="str">
        <f>CONCATENATE(I650,J650,K650,L650,M650)</f>
        <v>Thank you anyways for participating in this learning experience. I hope it contributed something positive to your life. Again, thank you, . I was going to next invite you to follow my wellness campaign. I now leave that up to you. You can learn more about it by clicking the button below.</v>
      </c>
      <c r="G650" s="1"/>
      <c r="H650" s="6" t="s">
        <v>3</v>
      </c>
      <c r="I650" s="1" t="s">
        <v>424</v>
      </c>
      <c r="J650" s="1" t="str">
        <f>E628</f>
        <v/>
      </c>
      <c r="K650" s="1" t="s">
        <v>425</v>
      </c>
      <c r="L650" s="1"/>
      <c r="M650" s="1"/>
      <c r="N650" s="1"/>
      <c r="O650" s="1"/>
    </row>
    <row r="651" spans="2:15" s="2" customFormat="1" hidden="1" x14ac:dyDescent="0.3">
      <c r="B651" s="1"/>
      <c r="C651" s="1">
        <f>D650</f>
        <v>40</v>
      </c>
      <c r="D651" s="1">
        <v>60</v>
      </c>
      <c r="E651" s="1"/>
      <c r="F651" s="1" t="str">
        <f t="shared" ref="F651:F654" si="2">CONCATENATE(I651,J651,K651,L651,M651)</f>
        <v>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v>
      </c>
      <c r="G651" s="1"/>
      <c r="H651" s="6" t="s">
        <v>3</v>
      </c>
      <c r="I651" s="1" t="s">
        <v>414</v>
      </c>
      <c r="J651" s="1"/>
      <c r="K651" s="1"/>
      <c r="L651" s="1"/>
      <c r="M651" s="1"/>
      <c r="N651" s="1"/>
      <c r="O651" s="1"/>
    </row>
    <row r="652" spans="2:15" s="2" customFormat="1" hidden="1" x14ac:dyDescent="0.3">
      <c r="B652" s="1"/>
      <c r="C652" s="1">
        <f t="shared" ref="C652:C654" si="3">D651</f>
        <v>60</v>
      </c>
      <c r="D652" s="1">
        <v>75</v>
      </c>
      <c r="E652" s="1"/>
      <c r="F652" s="1" t="str">
        <f t="shared" si="2"/>
        <v>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v>
      </c>
      <c r="G652" s="1"/>
      <c r="H652" s="6" t="s">
        <v>3</v>
      </c>
      <c r="I652" s="1" t="s">
        <v>414</v>
      </c>
      <c r="J652" s="1"/>
      <c r="K652" s="1"/>
      <c r="L652" s="1"/>
      <c r="M652" s="1"/>
      <c r="O652" s="1"/>
    </row>
    <row r="653" spans="2:15" s="2" customFormat="1" hidden="1" x14ac:dyDescent="0.3">
      <c r="B653" s="1"/>
      <c r="C653" s="1">
        <f t="shared" si="3"/>
        <v>75</v>
      </c>
      <c r="D653" s="1">
        <v>90</v>
      </c>
      <c r="E653" s="1"/>
      <c r="F653" s="1" t="str">
        <f t="shared" si="2"/>
        <v xml:space="preserve">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
</v>
      </c>
      <c r="G653" s="1"/>
      <c r="H653" s="6" t="s">
        <v>3</v>
      </c>
      <c r="I653" s="1" t="s">
        <v>426</v>
      </c>
      <c r="J653" s="1"/>
      <c r="K653" s="1"/>
      <c r="L653" s="1"/>
      <c r="M653" s="1"/>
      <c r="O653" s="1"/>
    </row>
    <row r="654" spans="2:15" s="2" customFormat="1" hidden="1" x14ac:dyDescent="0.3">
      <c r="B654" s="1"/>
      <c r="C654" s="1">
        <f t="shared" si="3"/>
        <v>90</v>
      </c>
      <c r="D654" s="1">
        <v>100</v>
      </c>
      <c r="E654" s="1"/>
      <c r="F654" s="1" t="str">
        <f t="shared" si="2"/>
        <v>My upcoming wellness campaign provides you opportunity to improve your responsiveness reputation, along with mine. Learn with me how to respect others in ways that inspire them to respond in kind. Then we apply this mutual respect when we speak truth to power. Together, we develop the competencies to resolve needs like no one has ever tried before.</v>
      </c>
      <c r="G654" s="1"/>
      <c r="H654" s="6" t="s">
        <v>3</v>
      </c>
      <c r="I654" s="1" t="s">
        <v>414</v>
      </c>
      <c r="J654" s="1"/>
      <c r="K654" s="1"/>
      <c r="L654" s="1"/>
      <c r="M654" s="1"/>
      <c r="O654" s="1"/>
    </row>
    <row r="655" spans="2:15" s="2" customFormat="1" hidden="1" x14ac:dyDescent="0.3">
      <c r="B655" s="1"/>
      <c r="C655" s="1"/>
      <c r="D655" s="1"/>
      <c r="E655" s="1"/>
      <c r="F655" s="1"/>
      <c r="G655" s="1"/>
      <c r="H655" s="3"/>
      <c r="I655" s="1"/>
      <c r="J655" s="1"/>
      <c r="K655" s="1"/>
      <c r="L655" s="1"/>
      <c r="M655" s="1"/>
      <c r="O655" s="1"/>
    </row>
    <row r="656" spans="2:15" s="2" customFormat="1" hidden="1" x14ac:dyDescent="0.3">
      <c r="B656" s="1"/>
      <c r="C656" s="1"/>
      <c r="D656" s="1"/>
      <c r="E656" s="1"/>
      <c r="F656" s="1"/>
      <c r="G656" s="1"/>
      <c r="H656" s="3"/>
      <c r="I656" s="1"/>
      <c r="J656" s="1"/>
      <c r="K656" s="1"/>
      <c r="L656" s="1"/>
      <c r="M656" s="1"/>
      <c r="O656" s="1"/>
    </row>
    <row r="657" spans="2:15" s="2" customFormat="1" hidden="1" x14ac:dyDescent="0.3">
      <c r="B657" s="1"/>
      <c r="C657" s="1"/>
      <c r="D657" s="1"/>
      <c r="E657" s="1"/>
      <c r="F657" s="1"/>
      <c r="G657" s="1"/>
      <c r="H657" s="3"/>
      <c r="I657" s="1"/>
      <c r="J657" s="1"/>
      <c r="K657" s="1"/>
      <c r="L657" s="1"/>
      <c r="M657" s="1"/>
      <c r="O657" s="1"/>
    </row>
    <row r="658" spans="2:15" s="2" customFormat="1" hidden="1" x14ac:dyDescent="0.3">
      <c r="B658" s="1"/>
      <c r="C658" s="1"/>
      <c r="D658" s="1"/>
      <c r="E658" s="1"/>
      <c r="F658" s="1"/>
      <c r="G658" s="1"/>
      <c r="H658" s="3"/>
      <c r="I658" s="1"/>
      <c r="J658" s="1"/>
      <c r="K658" s="1"/>
      <c r="L658" s="1"/>
      <c r="M658" s="1"/>
      <c r="O658" s="1"/>
    </row>
    <row r="659" spans="2:15" s="2" customFormat="1" hidden="1" x14ac:dyDescent="0.3">
      <c r="B659" s="1"/>
      <c r="C659" s="4" t="str">
        <f>IF(C606=0,G659,CONCATENATE(K659,L659,M659))</f>
        <v>FOLLOW my wellness campaign for FREE</v>
      </c>
      <c r="D659" s="1"/>
      <c r="E659" s="1"/>
      <c r="F659" s="6" t="s">
        <v>3</v>
      </c>
      <c r="G659" s="1" t="s">
        <v>432</v>
      </c>
      <c r="H659" s="3"/>
      <c r="I659" s="1"/>
      <c r="J659" s="1"/>
      <c r="K659" s="1" t="s">
        <v>434</v>
      </c>
      <c r="L659" s="1">
        <f>C606</f>
        <v>0</v>
      </c>
      <c r="M659" s="6" t="s">
        <v>433</v>
      </c>
      <c r="O659" s="1"/>
    </row>
    <row r="660" spans="2:15" s="2" customFormat="1" hidden="1" x14ac:dyDescent="0.3">
      <c r="B660" s="1"/>
      <c r="C660" s="1"/>
      <c r="D660" s="1"/>
      <c r="E660" s="1"/>
      <c r="F660" s="1"/>
      <c r="G660" s="1"/>
      <c r="H660" s="3"/>
      <c r="I660" s="1"/>
      <c r="J660" s="1"/>
      <c r="K660" s="1"/>
      <c r="L660" s="1"/>
      <c r="M660" s="1"/>
      <c r="O660" s="1"/>
    </row>
    <row r="661" spans="2:15" s="2" customFormat="1" hidden="1" x14ac:dyDescent="0.3">
      <c r="B661" s="1"/>
      <c r="C661" s="1"/>
      <c r="D661" s="1"/>
      <c r="E661" s="1"/>
      <c r="F661" s="1"/>
      <c r="G661" s="1"/>
      <c r="H661" s="3"/>
      <c r="I661" s="1"/>
      <c r="J661" s="1"/>
      <c r="K661" s="1"/>
      <c r="L661" s="1"/>
      <c r="M661" s="1"/>
      <c r="O661" s="1"/>
    </row>
    <row r="662" spans="2:15" s="2" customFormat="1" hidden="1" x14ac:dyDescent="0.3">
      <c r="B662" s="1"/>
      <c r="C662" s="1"/>
      <c r="D662" s="1"/>
      <c r="E662" s="1"/>
      <c r="F662" s="1"/>
      <c r="G662" s="1"/>
      <c r="H662" s="3"/>
      <c r="I662" s="1"/>
      <c r="J662" s="1"/>
      <c r="K662" s="1"/>
      <c r="L662" s="1"/>
      <c r="M662" s="1"/>
      <c r="O662" s="1"/>
    </row>
    <row r="663" spans="2:15" s="2" customFormat="1" hidden="1" x14ac:dyDescent="0.3">
      <c r="B663" s="1"/>
      <c r="C663" s="1"/>
      <c r="D663" s="1"/>
      <c r="E663" s="1"/>
      <c r="F663" s="1"/>
      <c r="G663" s="1"/>
      <c r="H663" s="3"/>
      <c r="I663" s="1"/>
      <c r="J663" s="1"/>
      <c r="K663" s="1"/>
      <c r="L663" s="1"/>
      <c r="M663" s="1"/>
      <c r="O663" s="1"/>
    </row>
    <row r="664" spans="2:15" s="2" customFormat="1" hidden="1" x14ac:dyDescent="0.3">
      <c r="B664" s="1"/>
      <c r="C664" s="1"/>
      <c r="D664" s="1"/>
      <c r="E664" s="1"/>
      <c r="F664" s="1"/>
      <c r="G664" s="1"/>
      <c r="H664" s="3"/>
      <c r="I664" s="1"/>
      <c r="J664" s="1"/>
      <c r="K664" s="1"/>
      <c r="L664" s="1"/>
      <c r="M664" s="1"/>
      <c r="O664" s="1"/>
    </row>
    <row r="665" spans="2:15" s="2" customFormat="1" hidden="1" x14ac:dyDescent="0.3">
      <c r="B665" s="1"/>
      <c r="C665" s="1"/>
      <c r="D665" s="1"/>
      <c r="E665" s="1"/>
      <c r="F665" s="1"/>
      <c r="G665" s="1"/>
      <c r="H665" s="3"/>
      <c r="I665" s="1"/>
      <c r="J665" s="1"/>
      <c r="K665" s="1"/>
      <c r="L665" s="1"/>
      <c r="M665" s="1"/>
      <c r="O665" s="1"/>
    </row>
    <row r="666" spans="2:15" s="2" customFormat="1" hidden="1" x14ac:dyDescent="0.3">
      <c r="B666" s="1"/>
      <c r="C666" s="1"/>
      <c r="D666" s="1"/>
      <c r="E666" s="1"/>
      <c r="F666" s="1"/>
      <c r="G666" s="1"/>
      <c r="H666" s="3"/>
      <c r="I666" s="1"/>
      <c r="J666" s="1"/>
      <c r="K666" s="1"/>
      <c r="L666" s="1"/>
      <c r="M666" s="1"/>
      <c r="O666" s="1"/>
    </row>
    <row r="667" spans="2:15" s="2" customFormat="1" hidden="1" x14ac:dyDescent="0.3">
      <c r="B667" s="1"/>
      <c r="C667" s="1"/>
      <c r="D667" s="1"/>
      <c r="E667" s="1"/>
      <c r="F667" s="1"/>
      <c r="G667" s="1"/>
      <c r="H667" s="3"/>
      <c r="I667" s="1"/>
      <c r="J667" s="1"/>
      <c r="K667" s="1"/>
      <c r="L667" s="1"/>
      <c r="M667" s="1"/>
      <c r="O667" s="1"/>
    </row>
    <row r="668" spans="2:15" s="2" customFormat="1" hidden="1" x14ac:dyDescent="0.3">
      <c r="B668" s="1"/>
      <c r="C668" s="1"/>
      <c r="D668" s="1"/>
      <c r="E668" s="1"/>
      <c r="F668" s="1"/>
      <c r="G668" s="1"/>
      <c r="H668" s="3"/>
      <c r="I668" s="1"/>
      <c r="J668" s="1"/>
      <c r="K668" s="1"/>
      <c r="L668" s="1"/>
      <c r="M668" s="1"/>
      <c r="O668" s="1"/>
    </row>
    <row r="669" spans="2:15" s="2" customFormat="1" hidden="1" x14ac:dyDescent="0.3">
      <c r="B669" s="1"/>
      <c r="C669" s="1"/>
      <c r="D669" s="1"/>
      <c r="E669" s="1"/>
      <c r="F669" s="1"/>
      <c r="G669" s="1"/>
      <c r="H669" s="3"/>
      <c r="I669" s="1"/>
      <c r="J669" s="1"/>
      <c r="K669" s="1"/>
      <c r="L669" s="1"/>
      <c r="M669" s="1"/>
      <c r="O669" s="1"/>
    </row>
    <row r="670" spans="2:15" s="2" customFormat="1" hidden="1" x14ac:dyDescent="0.3">
      <c r="B670" s="1"/>
      <c r="C670" s="1"/>
      <c r="D670" s="1"/>
      <c r="E670" s="1"/>
      <c r="F670" s="1"/>
      <c r="G670" s="1"/>
      <c r="H670" s="3"/>
      <c r="I670" s="1"/>
      <c r="J670" s="1"/>
      <c r="K670" s="1"/>
      <c r="L670" s="1"/>
      <c r="M670" s="1"/>
      <c r="O670" s="1"/>
    </row>
    <row r="671" spans="2:15" s="2" customFormat="1" hidden="1" x14ac:dyDescent="0.3">
      <c r="B671" s="1"/>
      <c r="C671" s="1"/>
      <c r="D671" s="1"/>
      <c r="E671" s="1"/>
      <c r="F671" s="1"/>
      <c r="G671" s="1"/>
      <c r="H671" s="3"/>
      <c r="I671" s="1"/>
      <c r="J671" s="1"/>
      <c r="K671" s="1"/>
      <c r="L671" s="1"/>
      <c r="M671" s="1"/>
      <c r="O671" s="1"/>
    </row>
    <row r="672" spans="2:15" s="2" customFormat="1" hidden="1" x14ac:dyDescent="0.3">
      <c r="B672" s="1"/>
      <c r="C672" s="1"/>
      <c r="D672" s="1"/>
      <c r="E672" s="1"/>
      <c r="F672" s="1"/>
      <c r="G672" s="1"/>
      <c r="H672" s="3"/>
      <c r="I672" s="1"/>
      <c r="J672" s="1"/>
      <c r="K672" s="1"/>
      <c r="L672" s="1"/>
      <c r="M672" s="1"/>
      <c r="O672" s="1"/>
    </row>
    <row r="673" spans="2:15" s="2" customFormat="1" hidden="1" x14ac:dyDescent="0.3">
      <c r="B673" s="1"/>
      <c r="C673" s="1"/>
      <c r="D673" s="1"/>
      <c r="E673" s="1"/>
      <c r="F673" s="1"/>
      <c r="G673" s="1"/>
      <c r="H673" s="3"/>
      <c r="I673" s="1"/>
      <c r="J673" s="1"/>
      <c r="K673" s="1"/>
      <c r="L673" s="1"/>
      <c r="M673" s="1"/>
      <c r="O673" s="1"/>
    </row>
    <row r="674" spans="2:15" s="2" customFormat="1" hidden="1" x14ac:dyDescent="0.3">
      <c r="B674" s="1"/>
      <c r="C674" s="1"/>
      <c r="D674" s="1"/>
      <c r="E674" s="1"/>
      <c r="F674" s="1"/>
      <c r="G674" s="1"/>
      <c r="H674" s="3"/>
      <c r="I674" s="1"/>
      <c r="J674" s="1"/>
      <c r="K674" s="1"/>
      <c r="L674" s="1"/>
      <c r="M674" s="1"/>
      <c r="O674" s="1"/>
    </row>
    <row r="675" spans="2:15" s="2" customFormat="1" hidden="1" x14ac:dyDescent="0.3">
      <c r="B675" s="1"/>
      <c r="C675" s="1"/>
      <c r="D675" s="1"/>
      <c r="E675" s="1"/>
      <c r="F675" s="1"/>
      <c r="G675" s="1"/>
      <c r="H675" s="3"/>
      <c r="I675" s="1"/>
      <c r="J675" s="1"/>
      <c r="K675" s="1"/>
      <c r="L675" s="1"/>
      <c r="M675" s="1"/>
      <c r="O675" s="1"/>
    </row>
    <row r="676" spans="2:15" s="2" customFormat="1" hidden="1" x14ac:dyDescent="0.3">
      <c r="B676" s="1"/>
      <c r="C676" s="1"/>
      <c r="D676" s="1"/>
      <c r="E676" s="1"/>
      <c r="F676" s="1"/>
      <c r="G676" s="1"/>
      <c r="H676" s="3"/>
      <c r="I676" s="1"/>
      <c r="J676" s="1"/>
      <c r="K676" s="1"/>
      <c r="L676" s="1"/>
      <c r="M676" s="1"/>
      <c r="O676" s="1"/>
    </row>
    <row r="677" spans="2:15" s="2" customFormat="1" hidden="1" x14ac:dyDescent="0.3">
      <c r="B677" s="1"/>
      <c r="C677" s="1"/>
      <c r="D677" s="1"/>
      <c r="E677" s="1"/>
      <c r="F677" s="1"/>
      <c r="G677" s="1"/>
      <c r="H677" s="3"/>
      <c r="I677" s="1"/>
      <c r="J677" s="1"/>
      <c r="K677" s="1"/>
      <c r="L677" s="1"/>
      <c r="M677" s="1"/>
      <c r="O677" s="1"/>
    </row>
    <row r="678" spans="2:15" s="2" customFormat="1" hidden="1" x14ac:dyDescent="0.3">
      <c r="B678" s="1"/>
      <c r="C678" s="1"/>
      <c r="D678" s="1"/>
      <c r="E678" s="1"/>
      <c r="F678" s="1"/>
      <c r="G678" s="1"/>
      <c r="H678" s="3"/>
      <c r="I678" s="1"/>
      <c r="J678" s="1"/>
      <c r="K678" s="1"/>
      <c r="L678" s="1"/>
      <c r="M678" s="1"/>
      <c r="O678" s="1"/>
    </row>
    <row r="679" spans="2:15" s="2" customFormat="1" hidden="1" x14ac:dyDescent="0.3">
      <c r="B679" s="1"/>
      <c r="C679" s="1"/>
      <c r="D679" s="1"/>
      <c r="E679" s="1"/>
      <c r="F679" s="1"/>
      <c r="G679" s="1"/>
      <c r="H679" s="3"/>
      <c r="I679" s="1"/>
      <c r="J679" s="1"/>
      <c r="K679" s="1"/>
      <c r="L679" s="1"/>
      <c r="M679" s="1"/>
      <c r="O679" s="1"/>
    </row>
    <row r="680" spans="2:15" s="2" customFormat="1" hidden="1" x14ac:dyDescent="0.3">
      <c r="B680" s="1"/>
      <c r="C680" s="1"/>
      <c r="D680" s="1"/>
      <c r="E680" s="1"/>
      <c r="F680" s="1"/>
      <c r="G680" s="1"/>
      <c r="H680" s="3"/>
      <c r="I680" s="1"/>
      <c r="J680" s="1"/>
      <c r="K680" s="1"/>
      <c r="L680" s="1"/>
      <c r="M680" s="1"/>
      <c r="O680" s="1"/>
    </row>
    <row r="681" spans="2:15" s="2" customFormat="1" hidden="1" x14ac:dyDescent="0.3">
      <c r="B681" s="1"/>
      <c r="C681" s="1"/>
      <c r="D681" s="1"/>
      <c r="E681" s="1"/>
      <c r="F681" s="1"/>
      <c r="G681" s="1"/>
      <c r="H681" s="3"/>
      <c r="I681" s="1"/>
      <c r="J681" s="1"/>
      <c r="K681" s="1"/>
      <c r="L681" s="1"/>
      <c r="M681" s="1"/>
      <c r="O681" s="1"/>
    </row>
    <row r="682" spans="2:15" s="2" customFormat="1" hidden="1" x14ac:dyDescent="0.3">
      <c r="B682" s="1"/>
      <c r="C682" s="1"/>
      <c r="D682" s="1"/>
      <c r="E682" s="1"/>
      <c r="F682" s="1"/>
      <c r="G682" s="1"/>
      <c r="H682" s="3"/>
      <c r="I682" s="1"/>
      <c r="J682" s="1"/>
      <c r="K682" s="1"/>
      <c r="L682" s="1"/>
      <c r="M682" s="1"/>
      <c r="O682" s="1"/>
    </row>
    <row r="683" spans="2:15" s="2" customFormat="1" hidden="1" x14ac:dyDescent="0.3">
      <c r="B683" s="1"/>
      <c r="C683" s="1"/>
      <c r="D683" s="1"/>
      <c r="E683" s="1"/>
      <c r="F683" s="1"/>
      <c r="G683" s="1"/>
      <c r="H683" s="3"/>
      <c r="I683" s="1"/>
      <c r="J683" s="1"/>
      <c r="K683" s="1"/>
      <c r="L683" s="1"/>
      <c r="M683" s="1"/>
      <c r="O683" s="1"/>
    </row>
    <row r="684" spans="2:15" s="2" customFormat="1" hidden="1" x14ac:dyDescent="0.3">
      <c r="B684" s="1"/>
      <c r="C684" s="1"/>
      <c r="D684" s="1"/>
      <c r="E684" s="1"/>
      <c r="F684" s="1"/>
      <c r="G684" s="1"/>
      <c r="H684" s="3"/>
      <c r="I684" s="1"/>
      <c r="J684" s="1"/>
      <c r="K684" s="1"/>
      <c r="L684" s="1"/>
      <c r="M684" s="1"/>
      <c r="O684" s="1"/>
    </row>
    <row r="685" spans="2:15" s="2" customFormat="1" hidden="1" x14ac:dyDescent="0.3">
      <c r="B685" s="1"/>
      <c r="C685" s="1"/>
      <c r="D685" s="1"/>
      <c r="E685" s="1"/>
      <c r="F685" s="1"/>
      <c r="G685" s="1"/>
      <c r="H685" s="3"/>
      <c r="I685" s="1"/>
      <c r="J685" s="1"/>
      <c r="K685" s="1"/>
      <c r="L685" s="1"/>
      <c r="M685" s="1"/>
      <c r="O685" s="1"/>
    </row>
    <row r="686" spans="2:15" s="2" customFormat="1" hidden="1" x14ac:dyDescent="0.3">
      <c r="B686" s="1"/>
      <c r="C686" s="1"/>
      <c r="D686" s="1"/>
      <c r="E686" s="1"/>
      <c r="F686" s="1"/>
      <c r="G686" s="1"/>
      <c r="H686" s="3"/>
      <c r="I686" s="1"/>
      <c r="J686" s="1"/>
      <c r="K686" s="1"/>
      <c r="L686" s="1"/>
      <c r="M686" s="1"/>
      <c r="O686" s="1"/>
    </row>
    <row r="687" spans="2:15" s="2" customFormat="1" hidden="1" x14ac:dyDescent="0.3">
      <c r="B687" s="1"/>
      <c r="C687" s="1"/>
      <c r="D687" s="1"/>
      <c r="E687" s="1"/>
      <c r="F687" s="1"/>
      <c r="G687" s="1"/>
      <c r="H687" s="3"/>
      <c r="I687" s="1"/>
      <c r="J687" s="1"/>
      <c r="K687" s="1"/>
      <c r="L687" s="1"/>
      <c r="M687" s="1"/>
      <c r="O687" s="1"/>
    </row>
    <row r="688" spans="2:15" s="2" customFormat="1" hidden="1" x14ac:dyDescent="0.3">
      <c r="B688" s="1"/>
      <c r="C688" s="1"/>
      <c r="D688" s="1"/>
      <c r="E688" s="1"/>
      <c r="F688" s="1"/>
      <c r="G688" s="1"/>
      <c r="H688" s="3"/>
      <c r="I688" s="1"/>
      <c r="J688" s="1"/>
      <c r="K688" s="1"/>
      <c r="L688" s="1"/>
      <c r="M688" s="1"/>
      <c r="O688" s="1"/>
    </row>
    <row r="689" spans="2:15" s="2" customFormat="1" hidden="1" x14ac:dyDescent="0.3">
      <c r="B689" s="1"/>
      <c r="C689" s="1"/>
      <c r="D689" s="1"/>
      <c r="E689" s="1"/>
      <c r="F689" s="1"/>
      <c r="G689" s="1"/>
      <c r="H689" s="3"/>
      <c r="I689" s="1"/>
      <c r="J689" s="1"/>
      <c r="K689" s="1"/>
      <c r="L689" s="1"/>
      <c r="M689" s="1"/>
      <c r="O689" s="1"/>
    </row>
    <row r="690" spans="2:15" s="2" customFormat="1" hidden="1" x14ac:dyDescent="0.3">
      <c r="B690" s="1"/>
      <c r="C690" s="1"/>
      <c r="D690" s="1"/>
      <c r="E690" s="1"/>
      <c r="F690" s="1"/>
      <c r="G690" s="1"/>
      <c r="H690" s="3"/>
      <c r="I690" s="1"/>
      <c r="J690" s="1"/>
      <c r="K690" s="1"/>
      <c r="L690" s="1"/>
      <c r="M690" s="1"/>
      <c r="O690" s="1"/>
    </row>
    <row r="691" spans="2:15" s="2" customFormat="1" hidden="1" x14ac:dyDescent="0.3">
      <c r="B691" s="1"/>
      <c r="C691" s="1"/>
      <c r="D691" s="1"/>
      <c r="E691" s="1"/>
      <c r="F691" s="1"/>
      <c r="G691" s="1"/>
      <c r="H691" s="3"/>
      <c r="I691" s="1"/>
      <c r="J691" s="1"/>
      <c r="K691" s="1"/>
      <c r="L691" s="1"/>
      <c r="M691" s="1"/>
      <c r="O691" s="1"/>
    </row>
    <row r="692" spans="2:15" s="2" customFormat="1" hidden="1" x14ac:dyDescent="0.3">
      <c r="B692" s="1"/>
      <c r="C692" s="1"/>
      <c r="D692" s="1"/>
      <c r="E692" s="1"/>
      <c r="F692" s="1"/>
      <c r="G692" s="1"/>
      <c r="H692" s="3"/>
      <c r="I692" s="1"/>
      <c r="J692" s="1"/>
      <c r="K692" s="1"/>
      <c r="L692" s="1"/>
      <c r="M692" s="1"/>
      <c r="O692" s="1"/>
    </row>
    <row r="693" spans="2:15" s="2" customFormat="1" hidden="1" x14ac:dyDescent="0.3">
      <c r="B693" s="1"/>
      <c r="C693" s="1"/>
      <c r="D693" s="1"/>
      <c r="E693" s="1"/>
      <c r="F693" s="1"/>
      <c r="G693" s="1"/>
      <c r="H693" s="3"/>
      <c r="I693" s="1"/>
      <c r="J693" s="1"/>
      <c r="K693" s="1"/>
      <c r="L693" s="1"/>
      <c r="M693" s="1"/>
      <c r="O693" s="1"/>
    </row>
    <row r="694" spans="2:15" s="2" customFormat="1" hidden="1" x14ac:dyDescent="0.3">
      <c r="B694" s="1"/>
      <c r="C694" s="1"/>
      <c r="D694" s="1"/>
      <c r="E694" s="1"/>
      <c r="F694" s="1"/>
      <c r="G694" s="1"/>
      <c r="H694" s="3"/>
      <c r="I694" s="1"/>
      <c r="J694" s="1"/>
      <c r="K694" s="1"/>
      <c r="L694" s="1"/>
      <c r="M694" s="1"/>
      <c r="O694" s="1"/>
    </row>
    <row r="695" spans="2:15" s="2" customFormat="1" hidden="1" x14ac:dyDescent="0.3">
      <c r="B695" s="1"/>
      <c r="C695" s="1"/>
      <c r="D695" s="1"/>
      <c r="E695" s="1"/>
      <c r="F695" s="1"/>
      <c r="G695" s="1"/>
      <c r="H695" s="3"/>
      <c r="I695" s="1"/>
      <c r="J695" s="1"/>
      <c r="K695" s="1"/>
      <c r="L695" s="1"/>
      <c r="M695" s="1"/>
      <c r="O695" s="1"/>
    </row>
    <row r="696" spans="2:15" s="2" customFormat="1" hidden="1" x14ac:dyDescent="0.3">
      <c r="B696" s="1"/>
      <c r="C696" s="1"/>
      <c r="D696" s="1"/>
      <c r="E696" s="1"/>
      <c r="F696" s="1"/>
      <c r="G696" s="1"/>
      <c r="H696" s="3"/>
      <c r="I696" s="1"/>
      <c r="J696" s="1"/>
      <c r="K696" s="1"/>
      <c r="L696" s="1"/>
      <c r="M696" s="1"/>
      <c r="O696" s="1"/>
    </row>
    <row r="697" spans="2:15" s="2" customFormat="1" hidden="1" x14ac:dyDescent="0.3">
      <c r="B697" s="1"/>
      <c r="C697" s="1"/>
      <c r="D697" s="1"/>
      <c r="E697" s="1"/>
      <c r="F697" s="1"/>
      <c r="G697" s="1"/>
      <c r="H697" s="3"/>
      <c r="I697" s="1"/>
      <c r="J697" s="1"/>
      <c r="K697" s="1"/>
      <c r="L697" s="1"/>
      <c r="M697" s="1"/>
      <c r="O697" s="1"/>
    </row>
    <row r="698" spans="2:15" s="2" customFormat="1" hidden="1" x14ac:dyDescent="0.3">
      <c r="B698" s="1"/>
      <c r="C698" s="1"/>
      <c r="D698" s="1"/>
      <c r="E698" s="1"/>
      <c r="F698" s="1"/>
      <c r="G698" s="1"/>
      <c r="H698" s="3"/>
      <c r="I698" s="1"/>
      <c r="J698" s="1"/>
      <c r="K698" s="1"/>
      <c r="L698" s="1"/>
      <c r="M698" s="1"/>
      <c r="O698" s="1"/>
    </row>
    <row r="699" spans="2:15" s="2" customFormat="1" hidden="1" x14ac:dyDescent="0.3">
      <c r="B699" s="1"/>
      <c r="C699" s="1"/>
      <c r="D699" s="1"/>
      <c r="E699" s="1"/>
      <c r="F699" s="1"/>
      <c r="G699" s="1"/>
      <c r="H699" s="3"/>
      <c r="I699" s="1"/>
      <c r="J699" s="1"/>
      <c r="K699" s="1"/>
      <c r="L699" s="1"/>
      <c r="M699" s="1"/>
      <c r="O699" s="1"/>
    </row>
    <row r="700" spans="2:15" s="2" customFormat="1" hidden="1" x14ac:dyDescent="0.3">
      <c r="B700" s="1"/>
      <c r="C700" s="1"/>
      <c r="D700" s="1"/>
      <c r="E700" s="1"/>
      <c r="F700" s="1"/>
      <c r="G700" s="1"/>
      <c r="H700" s="3"/>
      <c r="I700" s="1"/>
      <c r="J700" s="1"/>
      <c r="K700" s="1"/>
      <c r="L700" s="1"/>
      <c r="M700" s="1"/>
      <c r="O700" s="1"/>
    </row>
    <row r="701" spans="2:15" s="2" customFormat="1" x14ac:dyDescent="0.3">
      <c r="B701" s="1"/>
      <c r="C701" s="1"/>
      <c r="D701" s="1"/>
      <c r="E701" s="1"/>
      <c r="F701" s="1"/>
      <c r="G701" s="1"/>
      <c r="H701" s="3"/>
      <c r="I701" s="1"/>
      <c r="J701" s="1"/>
      <c r="K701" s="1"/>
      <c r="L701" s="1"/>
      <c r="M701" s="1"/>
      <c r="O701" s="1"/>
    </row>
    <row r="702" spans="2:15" s="2" customFormat="1" x14ac:dyDescent="0.3">
      <c r="B702" s="1"/>
      <c r="C702" s="1"/>
      <c r="D702" s="1"/>
      <c r="E702" s="1"/>
      <c r="F702" s="1"/>
      <c r="G702" s="1"/>
      <c r="H702" s="3"/>
      <c r="I702" s="1"/>
      <c r="J702" s="1"/>
      <c r="K702" s="1"/>
      <c r="L702" s="1"/>
      <c r="M702" s="1"/>
      <c r="O702" s="1"/>
    </row>
    <row r="703" spans="2:15" s="2" customFormat="1" x14ac:dyDescent="0.3">
      <c r="B703" s="1"/>
      <c r="C703" s="1"/>
      <c r="D703" s="1"/>
      <c r="E703" s="1"/>
      <c r="F703" s="1"/>
      <c r="G703" s="1"/>
      <c r="H703" s="3"/>
      <c r="I703" s="1"/>
      <c r="J703" s="1"/>
      <c r="K703" s="1"/>
      <c r="L703" s="1"/>
      <c r="M703" s="1"/>
      <c r="O703" s="1"/>
    </row>
    <row r="704" spans="2:15" s="2" customFormat="1" x14ac:dyDescent="0.3">
      <c r="B704" s="1"/>
      <c r="C704" s="1"/>
      <c r="D704" s="1"/>
      <c r="E704" s="1"/>
      <c r="F704" s="1"/>
      <c r="G704" s="1"/>
      <c r="H704" s="3"/>
      <c r="I704" s="1"/>
      <c r="J704" s="1"/>
      <c r="K704" s="1"/>
      <c r="L704" s="1"/>
      <c r="M704" s="1"/>
      <c r="O704" s="1"/>
    </row>
    <row r="705" spans="2:15" s="2" customFormat="1" x14ac:dyDescent="0.3">
      <c r="B705" s="1"/>
      <c r="C705" s="1"/>
      <c r="D705" s="1"/>
      <c r="E705" s="1"/>
      <c r="F705" s="1"/>
      <c r="G705" s="1"/>
      <c r="H705" s="3"/>
      <c r="I705" s="1"/>
      <c r="J705" s="1"/>
      <c r="K705" s="1"/>
      <c r="L705" s="1"/>
      <c r="M705" s="1"/>
      <c r="O705" s="1"/>
    </row>
  </sheetData>
  <mergeCells count="20">
    <mergeCell ref="D10:M10"/>
    <mergeCell ref="B2:M2"/>
    <mergeCell ref="B4:M4"/>
    <mergeCell ref="D7:M7"/>
    <mergeCell ref="D8:M8"/>
    <mergeCell ref="D9:M9"/>
    <mergeCell ref="B25:M25"/>
    <mergeCell ref="B21:M21"/>
    <mergeCell ref="B22:M22"/>
    <mergeCell ref="D11:M11"/>
    <mergeCell ref="D12:M12"/>
    <mergeCell ref="D13:M13"/>
    <mergeCell ref="D14:M14"/>
    <mergeCell ref="B15:M15"/>
    <mergeCell ref="B16:M16"/>
    <mergeCell ref="L18:M18"/>
    <mergeCell ref="B18:K18"/>
    <mergeCell ref="B17:M17"/>
    <mergeCell ref="B19:M19"/>
    <mergeCell ref="B20:M20"/>
  </mergeCells>
  <hyperlinks>
    <hyperlink ref="B2:M2" location="'full warmup'!A690:N707" tooltip="back to Message Templates" display="'full warmup'!A690:N707" xr:uid="{CAD373CD-F13B-4176-9829-1A81009D44BB}"/>
    <hyperlink ref="D7:M7" location="'full warmup'!E5" tooltip="Click to go the field where you first enter your name" display="'full warmup'!E5" xr:uid="{4A29A687-1D16-4603-96F0-C6C9A7644C9E}"/>
    <hyperlink ref="B25:M25" r:id="rId1" tooltip="click to go online to follow my campaign for free" display="https://www.anankelogyfoundation.org/need-response/follow" xr:uid="{55E18C38-25FD-4E5B-82A0-FC78800A73FA}"/>
  </hyperlinks>
  <printOptions horizontalCentered="1"/>
  <pageMargins left="0.5" right="0.5" top="0.75" bottom="0.75" header="0.3" footer="0.3"/>
  <pageSetup orientation="portrait" r:id="rId2"/>
  <headerFooter>
    <oddHeader>&amp;C&amp;"Arial Black,Regular"&amp;14&amp;K009641Anankelogy&amp;K004623 &amp;K7030A0Foundation</oddHeader>
    <oddFooter>&amp;C&amp;D</oddFooter>
  </headerFooter>
  <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a name from the dropdown list" xr:uid="{E4701970-C622-40C3-99B1-8F5BB4F2084A}">
          <x14:formula1>
            <xm:f>'full warmup'!$C$1077:$C$1096</xm:f>
          </x14:formula1>
          <xm:sqref>D9:L9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full warmup</vt:lpstr>
      <vt:lpstr>follow-up</vt:lpstr>
      <vt:lpstr>rate me</vt:lpstr>
      <vt:lpstr>PNP</vt:lpstr>
      <vt:lpstr>invite</vt:lpstr>
      <vt:lpstr>F-up2</vt:lpstr>
      <vt:lpstr>'follow-up'!Print_Area</vt:lpstr>
      <vt:lpstr>'full warmup'!Print_Area</vt:lpstr>
      <vt:lpstr>'F-up2'!Print_Area</vt:lpstr>
      <vt:lpstr>invite!Print_Area</vt:lpstr>
      <vt:lpstr>PNP!Print_Area</vt:lpstr>
      <vt:lpstr>'rate me'!Print_Area</vt:lpstr>
      <vt:lpstr>resp4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 Turner</dc:creator>
  <cp:lastModifiedBy>Steph Turner</cp:lastModifiedBy>
  <cp:lastPrinted>2023-12-13T03:13:57Z</cp:lastPrinted>
  <dcterms:created xsi:type="dcterms:W3CDTF">2023-11-10T10:20:11Z</dcterms:created>
  <dcterms:modified xsi:type="dcterms:W3CDTF">2023-12-16T15:00:53Z</dcterms:modified>
</cp:coreProperties>
</file>